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dianamcmahon/Downloads/"/>
    </mc:Choice>
  </mc:AlternateContent>
  <xr:revisionPtr revIDLastSave="0" documentId="13_ncr:1_{431BF698-C9B0-294A-93F7-7E9072BA418F}" xr6:coauthVersionLast="47" xr6:coauthVersionMax="47" xr10:uidLastSave="{00000000-0000-0000-0000-000000000000}"/>
  <bookViews>
    <workbookView xWindow="0" yWindow="660" windowWidth="34560" windowHeight="20560" xr2:uid="{00000000-000D-0000-FFFF-FFFF00000000}"/>
  </bookViews>
  <sheets>
    <sheet name="Read Me" sheetId="1" r:id="rId1"/>
    <sheet name="Assumptions" sheetId="2" r:id="rId2"/>
    <sheet name="Emp" sheetId="3" r:id="rId3"/>
    <sheet name="Scenario_Calc" sheetId="4" r:id="rId4"/>
    <sheet name="Summary" sheetId="5" r:id="rId5"/>
    <sheet name="Employee_Compare" sheetId="6" r:id="rId6"/>
    <sheet name="Referenc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B7" i="6"/>
  <c r="B5" i="6"/>
  <c r="B6" i="6" s="1"/>
  <c r="B4" i="6"/>
  <c r="B15" i="5"/>
  <c r="B14" i="5"/>
  <c r="B13" i="5"/>
  <c r="B12" i="5"/>
  <c r="B11" i="5"/>
  <c r="B10" i="5"/>
  <c r="C36" i="4"/>
  <c r="D36" i="4" s="1"/>
  <c r="B36" i="4"/>
  <c r="A36" i="4"/>
  <c r="C35" i="4"/>
  <c r="D35" i="4" s="1"/>
  <c r="B35" i="4"/>
  <c r="A35" i="4"/>
  <c r="C34" i="4"/>
  <c r="D34" i="4" s="1"/>
  <c r="B34" i="4"/>
  <c r="A34" i="4"/>
  <c r="C33" i="4"/>
  <c r="D33" i="4" s="1"/>
  <c r="B33" i="4"/>
  <c r="A33" i="4"/>
  <c r="E32" i="4"/>
  <c r="C32" i="4"/>
  <c r="D32" i="4" s="1"/>
  <c r="B32" i="4"/>
  <c r="A32" i="4"/>
  <c r="C31" i="4"/>
  <c r="D31" i="4" s="1"/>
  <c r="B31" i="4"/>
  <c r="A31" i="4"/>
  <c r="C30" i="4"/>
  <c r="D30" i="4" s="1"/>
  <c r="B30" i="4"/>
  <c r="G30" i="4" s="1"/>
  <c r="A30" i="4"/>
  <c r="C29" i="4"/>
  <c r="D29" i="4" s="1"/>
  <c r="B29" i="4"/>
  <c r="A29" i="4"/>
  <c r="C28" i="4"/>
  <c r="D28" i="4" s="1"/>
  <c r="B28" i="4"/>
  <c r="A28" i="4"/>
  <c r="C27" i="4"/>
  <c r="D27" i="4" s="1"/>
  <c r="B27" i="4"/>
  <c r="A27" i="4"/>
  <c r="C26" i="4"/>
  <c r="D26" i="4" s="1"/>
  <c r="B26" i="4"/>
  <c r="A26" i="4"/>
  <c r="E25" i="4"/>
  <c r="C25" i="4"/>
  <c r="D25" i="4" s="1"/>
  <c r="B25" i="4"/>
  <c r="A25" i="4"/>
  <c r="C24" i="4"/>
  <c r="D24" i="4" s="1"/>
  <c r="B24" i="4"/>
  <c r="A24" i="4"/>
  <c r="C23" i="4"/>
  <c r="D23" i="4" s="1"/>
  <c r="B23" i="4"/>
  <c r="G23" i="4" s="1"/>
  <c r="A23" i="4"/>
  <c r="E22" i="4"/>
  <c r="C22" i="4"/>
  <c r="D22" i="4" s="1"/>
  <c r="B22" i="4"/>
  <c r="A22" i="4"/>
  <c r="C21" i="4"/>
  <c r="D21" i="4" s="1"/>
  <c r="B21" i="4"/>
  <c r="A21" i="4"/>
  <c r="C20" i="4"/>
  <c r="D20" i="4" s="1"/>
  <c r="B20" i="4"/>
  <c r="A20" i="4"/>
  <c r="C19" i="4"/>
  <c r="D19" i="4" s="1"/>
  <c r="B19" i="4"/>
  <c r="A19" i="4"/>
  <c r="E18" i="4"/>
  <c r="C18" i="4"/>
  <c r="D18" i="4" s="1"/>
  <c r="B18" i="4"/>
  <c r="H18" i="4" s="1"/>
  <c r="A18" i="4"/>
  <c r="C17" i="4"/>
  <c r="D17" i="4" s="1"/>
  <c r="B17" i="4"/>
  <c r="A17" i="4"/>
  <c r="C16" i="4"/>
  <c r="D16" i="4" s="1"/>
  <c r="B16" i="4"/>
  <c r="G16" i="4" s="1"/>
  <c r="A16" i="4"/>
  <c r="C15" i="4"/>
  <c r="D15" i="4" s="1"/>
  <c r="B15" i="4"/>
  <c r="H15" i="4" s="1"/>
  <c r="A15" i="4"/>
  <c r="C14" i="4"/>
  <c r="D14" i="4" s="1"/>
  <c r="B14" i="4"/>
  <c r="A14" i="4"/>
  <c r="D13" i="4"/>
  <c r="C13" i="4"/>
  <c r="B13" i="4"/>
  <c r="A13" i="4"/>
  <c r="D12" i="4"/>
  <c r="C12" i="4"/>
  <c r="B12" i="4"/>
  <c r="A12" i="4"/>
  <c r="H11" i="4"/>
  <c r="E11" i="4"/>
  <c r="C11" i="4"/>
  <c r="D11" i="4" s="1"/>
  <c r="B11" i="4"/>
  <c r="A11" i="4"/>
  <c r="C10" i="4"/>
  <c r="D10" i="4" s="1"/>
  <c r="B10" i="4"/>
  <c r="A10" i="4"/>
  <c r="E9" i="4"/>
  <c r="D9" i="4"/>
  <c r="C9" i="4"/>
  <c r="B9" i="4"/>
  <c r="G9" i="4" s="1"/>
  <c r="A9" i="4"/>
  <c r="E8" i="4"/>
  <c r="C8" i="4"/>
  <c r="D8" i="4" s="1"/>
  <c r="B8" i="4"/>
  <c r="F8" i="4" s="1"/>
  <c r="A8" i="4"/>
  <c r="C7" i="4"/>
  <c r="D7" i="4" s="1"/>
  <c r="B7" i="4"/>
  <c r="A7" i="4"/>
  <c r="E4" i="4"/>
  <c r="B4" i="4"/>
  <c r="B37" i="3"/>
  <c r="B3" i="5" s="1"/>
  <c r="D35" i="3"/>
  <c r="E36" i="4" s="1"/>
  <c r="D34" i="3"/>
  <c r="E35" i="4" s="1"/>
  <c r="D33" i="3"/>
  <c r="E34" i="4" s="1"/>
  <c r="D32" i="3"/>
  <c r="E33" i="4" s="1"/>
  <c r="D31" i="3"/>
  <c r="D30" i="3"/>
  <c r="E31" i="4" s="1"/>
  <c r="F31" i="4" s="1"/>
  <c r="D29" i="3"/>
  <c r="E30" i="4" s="1"/>
  <c r="F30" i="4" s="1"/>
  <c r="D28" i="3"/>
  <c r="E29" i="4" s="1"/>
  <c r="D27" i="3"/>
  <c r="E28" i="4" s="1"/>
  <c r="D26" i="3"/>
  <c r="E27" i="4" s="1"/>
  <c r="F27" i="4" s="1"/>
  <c r="D25" i="3"/>
  <c r="E26" i="4" s="1"/>
  <c r="D24" i="3"/>
  <c r="D23" i="3"/>
  <c r="E24" i="4" s="1"/>
  <c r="D22" i="3"/>
  <c r="E23" i="4" s="1"/>
  <c r="F23" i="4" s="1"/>
  <c r="D21" i="3"/>
  <c r="D20" i="3"/>
  <c r="E21" i="4" s="1"/>
  <c r="D19" i="3"/>
  <c r="E20" i="4" s="1"/>
  <c r="D18" i="3"/>
  <c r="E19" i="4" s="1"/>
  <c r="D17" i="3"/>
  <c r="D16" i="3"/>
  <c r="E17" i="4" s="1"/>
  <c r="D15" i="3"/>
  <c r="E16" i="4" s="1"/>
  <c r="D14" i="3"/>
  <c r="E15" i="4" s="1"/>
  <c r="D13" i="3"/>
  <c r="E14" i="4" s="1"/>
  <c r="F14" i="4" s="1"/>
  <c r="D12" i="3"/>
  <c r="E13" i="4" s="1"/>
  <c r="D11" i="3"/>
  <c r="E12" i="4" s="1"/>
  <c r="D10" i="3"/>
  <c r="D9" i="3"/>
  <c r="E10" i="4" s="1"/>
  <c r="F10" i="4" s="1"/>
  <c r="D8" i="3"/>
  <c r="D7" i="3"/>
  <c r="D6" i="3"/>
  <c r="D37" i="3" s="1"/>
  <c r="B4" i="5" s="1"/>
  <c r="B9" i="2"/>
  <c r="H30" i="4" s="1"/>
  <c r="B7" i="2"/>
  <c r="B5" i="5" s="1"/>
  <c r="B6" i="2"/>
  <c r="F20" i="4" l="1"/>
  <c r="F29" i="4"/>
  <c r="F13" i="4"/>
  <c r="F24" i="4"/>
  <c r="F16" i="4"/>
  <c r="F9" i="4"/>
  <c r="F17" i="4"/>
  <c r="K30" i="4"/>
  <c r="I30" i="4"/>
  <c r="L30" i="4" s="1"/>
  <c r="C13" i="5"/>
  <c r="C14" i="5"/>
  <c r="K16" i="4"/>
  <c r="I16" i="4"/>
  <c r="J16" i="4" s="1"/>
  <c r="C12" i="5"/>
  <c r="C11" i="5"/>
  <c r="C10" i="5"/>
  <c r="C15" i="5"/>
  <c r="I23" i="4"/>
  <c r="I9" i="4"/>
  <c r="J9" i="4" s="1"/>
  <c r="J23" i="4"/>
  <c r="K31" i="4"/>
  <c r="F36" i="4"/>
  <c r="I36" i="4" s="1"/>
  <c r="J36" i="4" s="1"/>
  <c r="H17" i="4"/>
  <c r="F15" i="4"/>
  <c r="K15" i="4" s="1"/>
  <c r="F22" i="4"/>
  <c r="E7" i="4"/>
  <c r="E37" i="4" s="1"/>
  <c r="G8" i="4"/>
  <c r="G15" i="4"/>
  <c r="G22" i="4"/>
  <c r="G29" i="4"/>
  <c r="G36" i="4"/>
  <c r="B6" i="5"/>
  <c r="F28" i="4"/>
  <c r="I28" i="4" s="1"/>
  <c r="H29" i="4"/>
  <c r="K29" i="4" s="1"/>
  <c r="F35" i="4"/>
  <c r="H36" i="4"/>
  <c r="F21" i="4"/>
  <c r="H22" i="4"/>
  <c r="B11" i="2"/>
  <c r="B7" i="5" s="1"/>
  <c r="G7" i="4"/>
  <c r="I8" i="4"/>
  <c r="G14" i="4"/>
  <c r="G21" i="4"/>
  <c r="I22" i="4"/>
  <c r="J22" i="4" s="1"/>
  <c r="G28" i="4"/>
  <c r="I29" i="4"/>
  <c r="J29" i="4" s="1"/>
  <c r="G35" i="4"/>
  <c r="H28" i="4"/>
  <c r="F34" i="4"/>
  <c r="H35" i="4"/>
  <c r="H8" i="4"/>
  <c r="K8" i="4" s="1"/>
  <c r="L8" i="4" s="1"/>
  <c r="G34" i="4"/>
  <c r="H21" i="4"/>
  <c r="G13" i="4"/>
  <c r="I13" i="4" s="1"/>
  <c r="I14" i="4"/>
  <c r="J14" i="4" s="1"/>
  <c r="G20" i="4"/>
  <c r="I20" i="4" s="1"/>
  <c r="G27" i="4"/>
  <c r="I27" i="4" s="1"/>
  <c r="F12" i="4"/>
  <c r="H13" i="4"/>
  <c r="K13" i="4" s="1"/>
  <c r="F19" i="4"/>
  <c r="H20" i="4"/>
  <c r="K20" i="4" s="1"/>
  <c r="F26" i="4"/>
  <c r="H27" i="4"/>
  <c r="K27" i="4" s="1"/>
  <c r="F33" i="4"/>
  <c r="H34" i="4"/>
  <c r="E4" i="6"/>
  <c r="G33" i="4"/>
  <c r="H7" i="4"/>
  <c r="J8" i="4"/>
  <c r="H14" i="4"/>
  <c r="K14" i="4" s="1"/>
  <c r="G12" i="4"/>
  <c r="G19" i="4"/>
  <c r="G26" i="4"/>
  <c r="E3" i="4"/>
  <c r="F11" i="4"/>
  <c r="K11" i="4" s="1"/>
  <c r="H12" i="4"/>
  <c r="F18" i="4"/>
  <c r="K18" i="4" s="1"/>
  <c r="H19" i="4"/>
  <c r="F25" i="4"/>
  <c r="H26" i="4"/>
  <c r="F32" i="4"/>
  <c r="H33" i="4"/>
  <c r="E5" i="6"/>
  <c r="G11" i="4"/>
  <c r="G18" i="4"/>
  <c r="G25" i="4"/>
  <c r="I25" i="4" s="1"/>
  <c r="J25" i="4" s="1"/>
  <c r="G32" i="4"/>
  <c r="I32" i="4" s="1"/>
  <c r="J32" i="4" s="1"/>
  <c r="H25" i="4"/>
  <c r="H32" i="4"/>
  <c r="G10" i="4"/>
  <c r="I10" i="4" s="1"/>
  <c r="G17" i="4"/>
  <c r="I17" i="4" s="1"/>
  <c r="J17" i="4" s="1"/>
  <c r="G24" i="4"/>
  <c r="I24" i="4" s="1"/>
  <c r="G31" i="4"/>
  <c r="I31" i="4" s="1"/>
  <c r="H31" i="4"/>
  <c r="H24" i="4"/>
  <c r="K24" i="4" s="1"/>
  <c r="H10" i="4"/>
  <c r="K10" i="4" s="1"/>
  <c r="H9" i="4"/>
  <c r="K9" i="4" s="1"/>
  <c r="H16" i="4"/>
  <c r="H23" i="4"/>
  <c r="K23" i="4" s="1"/>
  <c r="K12" i="4" l="1"/>
  <c r="I11" i="4"/>
  <c r="J11" i="4" s="1"/>
  <c r="I18" i="4"/>
  <c r="J18" i="4" s="1"/>
  <c r="J30" i="4"/>
  <c r="K25" i="4"/>
  <c r="K22" i="4"/>
  <c r="L22" i="4" s="1"/>
  <c r="K33" i="4"/>
  <c r="F7" i="4"/>
  <c r="I21" i="4"/>
  <c r="J21" i="4" s="1"/>
  <c r="K17" i="4"/>
  <c r="L17" i="4" s="1"/>
  <c r="K26" i="4"/>
  <c r="I12" i="4"/>
  <c r="J12" i="4" s="1"/>
  <c r="L9" i="4"/>
  <c r="L23" i="4"/>
  <c r="K34" i="4"/>
  <c r="K35" i="4"/>
  <c r="K36" i="4"/>
  <c r="L36" i="4" s="1"/>
  <c r="J27" i="4"/>
  <c r="L27" i="4"/>
  <c r="J28" i="4"/>
  <c r="L10" i="4"/>
  <c r="L13" i="4"/>
  <c r="J13" i="4"/>
  <c r="L20" i="4"/>
  <c r="J20" i="4"/>
  <c r="L31" i="4"/>
  <c r="J31" i="4"/>
  <c r="L24" i="4"/>
  <c r="J24" i="4"/>
  <c r="E12" i="5"/>
  <c r="D12" i="5"/>
  <c r="J10" i="4"/>
  <c r="L29" i="4"/>
  <c r="L25" i="4"/>
  <c r="K21" i="4"/>
  <c r="L16" i="4"/>
  <c r="I34" i="4"/>
  <c r="J34" i="4" s="1"/>
  <c r="I35" i="4"/>
  <c r="L18" i="4"/>
  <c r="E13" i="5"/>
  <c r="D13" i="5"/>
  <c r="F13" i="5" s="1"/>
  <c r="L14" i="4"/>
  <c r="K28" i="4"/>
  <c r="L28" i="4" s="1"/>
  <c r="I26" i="4"/>
  <c r="J26" i="4" s="1"/>
  <c r="L11" i="4"/>
  <c r="E15" i="5"/>
  <c r="D15" i="5"/>
  <c r="F15" i="5" s="1"/>
  <c r="I15" i="4"/>
  <c r="J15" i="4" s="1"/>
  <c r="K19" i="4"/>
  <c r="E10" i="5"/>
  <c r="D10" i="5"/>
  <c r="E14" i="5"/>
  <c r="D14" i="5"/>
  <c r="K32" i="4"/>
  <c r="L32" i="4" s="1"/>
  <c r="I19" i="4"/>
  <c r="J19" i="4" s="1"/>
  <c r="I33" i="4"/>
  <c r="J33" i="4" s="1"/>
  <c r="E11" i="5"/>
  <c r="D11" i="5"/>
  <c r="F11" i="5" s="1"/>
  <c r="L12" i="4" l="1"/>
  <c r="F12" i="5"/>
  <c r="F14" i="5"/>
  <c r="F10" i="5"/>
  <c r="F37" i="4"/>
  <c r="I7" i="4"/>
  <c r="L21" i="4"/>
  <c r="L33" i="4"/>
  <c r="K7" i="4"/>
  <c r="K37" i="4" s="1"/>
  <c r="L34" i="4"/>
  <c r="L19" i="4"/>
  <c r="L26" i="4"/>
  <c r="J35" i="4"/>
  <c r="L35" i="4"/>
  <c r="L15" i="4"/>
  <c r="I37" i="4" l="1"/>
  <c r="J7" i="4"/>
  <c r="L7" i="4"/>
  <c r="L37" i="4" s="1"/>
</calcChain>
</file>

<file path=xl/sharedStrings.xml><?xml version="1.0" encoding="utf-8"?>
<sst xmlns="http://schemas.openxmlformats.org/spreadsheetml/2006/main" count="140" uniqueCount="100">
  <si>
    <t>VA PFML (HB1207 / SB2) Cost Estimator — Employer + Employee</t>
  </si>
  <si>
    <t>How to use:</t>
  </si>
  <si>
    <t>1) Assumptions: enter employee count, wage cap, and (if applicable) employee share.</t>
  </si>
  <si>
    <t>2) Employees: enter employee wages + pay frequency.</t>
  </si>
  <si>
    <t>3) Scenario_Calc: per-employee annual + per-paycheck deductions for one selected scenario.</t>
  </si>
  <si>
    <t>4) Summary: total employer cost + total employee deductions across all scenarios.</t>
  </si>
  <si>
    <t>5) Employee_Compare: pick one employee to generate an employee-facing comparison.</t>
  </si>
  <si>
    <t/>
  </si>
  <si>
    <t>Important notes:</t>
  </si>
  <si>
    <t>• This workbook estimates payroll contributions under HB1207 / SB2 split rules.</t>
  </si>
  <si>
    <t>• Actual VA contribution rate will be set by the Virginia Employment Commission. Scenarios are for planning.</t>
  </si>
  <si>
    <t>• One scenario uses VA DPB fiscal impact estimate of 0.72% of wages.</t>
  </si>
  <si>
    <t>• Contribution wages are capped at the Social Security taxable maximum (editable).</t>
  </si>
  <si>
    <t>Tip: Most small employers will use ≤10 employee rules — start on Assumptions.</t>
  </si>
  <si>
    <t>Assumptions &amp; Scenarios</t>
  </si>
  <si>
    <t>Employer inputs</t>
  </si>
  <si>
    <t>Employer / organization name</t>
  </si>
  <si>
    <t># of employees (used for &gt;10 vs ≤10 rule)</t>
  </si>
  <si>
    <t>Employer size category (auto)</t>
  </si>
  <si>
    <t>Employee withholding share of total premium</t>
  </si>
  <si>
    <t>If &gt;10 employees: enter employee share (0%–50%). If ≤10: fixed at 50%.</t>
  </si>
  <si>
    <t>Employer payment share of total premium</t>
  </si>
  <si>
    <t>If ≤10 employees: optional employer payment share (0%–50%). Default 0%.</t>
  </si>
  <si>
    <t>Unfunded share (if ≤10 and employer does not pay employer portion)</t>
  </si>
  <si>
    <t>Contribution cap &amp; pay frequency</t>
  </si>
  <si>
    <t>Contribution wage cap (Social Security taxable maximum) — editable</t>
  </si>
  <si>
    <t>Pay frequency</t>
  </si>
  <si>
    <t>Periods / year</t>
  </si>
  <si>
    <t>Default pay frequency</t>
  </si>
  <si>
    <t>Biweekly</t>
  </si>
  <si>
    <t>Weekly</t>
  </si>
  <si>
    <t>Rate scenarios (edit if you want)</t>
  </si>
  <si>
    <t>Scenario</t>
  </si>
  <si>
    <t>Total rate</t>
  </si>
  <si>
    <t>Source / notes (URL)</t>
  </si>
  <si>
    <t>Monthly</t>
  </si>
  <si>
    <t>Low (CT-style)</t>
  </si>
  <si>
    <t>https://www.ctpaidleave.org/how-ct-paid-leave-works/contributions</t>
  </si>
  <si>
    <t>VA DPB fiscal est.</t>
  </si>
  <si>
    <t>https://lis.blob.core.windows.net/files/1134082.PDF</t>
  </si>
  <si>
    <t>Mid (MA large)</t>
  </si>
  <si>
    <t>https://www.mass.gov/info-details/paid-family-and-medical-leave-employer-contribution-rates-and-calculator</t>
  </si>
  <si>
    <t>1.00% (OR 2026)</t>
  </si>
  <si>
    <t>https://paidleave.oregon.gov/employers-overview/</t>
  </si>
  <si>
    <t>High (WA 2026)</t>
  </si>
  <si>
    <t>https://esd.wa.gov/about-us/news-release/2025/paid-family-medical-leave-premium-rate-increases-113-2026</t>
  </si>
  <si>
    <t>Stress test (not official)</t>
  </si>
  <si>
    <t>Sensitivity case (planning only)</t>
  </si>
  <si>
    <t>Employee list (enter wages and pay frequency)</t>
  </si>
  <si>
    <t>Enter one row per employee. Annual wages should be gross wages subject to payroll premium.</t>
  </si>
  <si>
    <t>Employee name</t>
  </si>
  <si>
    <t>Annual wages ($)</t>
  </si>
  <si>
    <t>Covered wages (cap applies)</t>
  </si>
  <si>
    <t>Notes</t>
  </si>
  <si>
    <t>Totals</t>
  </si>
  <si>
    <t>Scenario calculator (per employee)</t>
  </si>
  <si>
    <t>Select scenario</t>
  </si>
  <si>
    <t>Employee share</t>
  </si>
  <si>
    <t>Selected rate</t>
  </si>
  <si>
    <t>Employer share</t>
  </si>
  <si>
    <t>Annual wages</t>
  </si>
  <si>
    <t>Periods/yr</t>
  </si>
  <si>
    <t>Covered wages</t>
  </si>
  <si>
    <t>All-in premium</t>
  </si>
  <si>
    <t>Employee annual $</t>
  </si>
  <si>
    <t>Employee $/pay</t>
  </si>
  <si>
    <t>Employer annual $</t>
  </si>
  <si>
    <t>Unfunded $</t>
  </si>
  <si>
    <t>Summary across all scenarios</t>
  </si>
  <si>
    <t>Total payroll (entered)</t>
  </si>
  <si>
    <t>Total covered payroll (cap applies)</t>
  </si>
  <si>
    <t>Unfunded share</t>
  </si>
  <si>
    <t>Rate</t>
  </si>
  <si>
    <t>All-in premium ($)</t>
  </si>
  <si>
    <t>Employee total ($)</t>
  </si>
  <si>
    <t>Employer total ($)</t>
  </si>
  <si>
    <t>Unfunded ($)</t>
  </si>
  <si>
    <t>Employee-facing comparison (pick one employee)</t>
  </si>
  <si>
    <t>Select employee</t>
  </si>
  <si>
    <t>Annual deduction ($)</t>
  </si>
  <si>
    <t>Deduction per pay ($)</t>
  </si>
  <si>
    <t>References (plain URLs)</t>
  </si>
  <si>
    <t>Item</t>
  </si>
  <si>
    <t>URL</t>
  </si>
  <si>
    <t>VA SB2 (LIS text)</t>
  </si>
  <si>
    <t>https://lis.virginia.gov/bill-details/20261/SB2/text/SB2S1</t>
  </si>
  <si>
    <t>VA HB1207 (LIS text)</t>
  </si>
  <si>
    <t>https://lis.virginia.gov/bill-details/20261/HB1207/text/HB1207</t>
  </si>
  <si>
    <t>VA DPB Fiscal Impact Statement (HB1207H1) — includes 0.72% premium estimate</t>
  </si>
  <si>
    <t>SSA contribution &amp; benefit base (wage cap) — 2026 cap $184,500</t>
  </si>
  <si>
    <t>https://www.ssa.gov/oact/cola/cbb.html</t>
  </si>
  <si>
    <t>CT Paid Leave contribution rate (0.5%)</t>
  </si>
  <si>
    <t>MA PFML contribution rates</t>
  </si>
  <si>
    <t>Paid Leave Oregon — 2026 contribution rate 1%</t>
  </si>
  <si>
    <t>WA PFML — 2026 premium rate 1.13%</t>
  </si>
  <si>
    <t>CO FAMLI (premium rate 0.88% — comparable)</t>
  </si>
  <si>
    <t>https://content.govdelivery.com/accounts/CODLE/bulletins/3e67e68</t>
  </si>
  <si>
    <t>Employee 1</t>
  </si>
  <si>
    <t>Employee 2</t>
  </si>
  <si>
    <t xml:space="preserve">Fill in all yellow cells to get calculations for your business.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</si>
</sst>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\$#,##0.00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sz val="9"/>
      <color rgb="FF666666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03864"/>
      </patternFill>
    </fill>
    <fill>
      <patternFill patternType="solid">
        <fgColor rgb="FFFFF2CC"/>
      </patternFill>
    </fill>
    <fill>
      <patternFill patternType="solid">
        <fgColor rgb="FF305496"/>
      </patternFill>
    </fill>
    <fill>
      <patternFill patternType="solid">
        <fgColor rgb="FFF2F2F2"/>
      </patternFill>
    </fill>
    <fill>
      <patternFill patternType="solid">
        <fgColor rgb="FFFFFAB3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0" fontId="7" fillId="4" borderId="1" xfId="0" applyNumberFormat="1" applyFont="1" applyFill="1" applyBorder="1" applyAlignment="1">
      <alignment horizontal="left" vertical="center" wrapText="1"/>
    </xf>
    <xf numFmtId="164" fontId="7" fillId="4" borderId="0" xfId="0" applyNumberFormat="1" applyFont="1" applyFill="1"/>
    <xf numFmtId="0" fontId="8" fillId="5" borderId="1" xfId="0" applyFont="1" applyFill="1" applyBorder="1" applyAlignment="1">
      <alignment horizontal="center" vertical="center" wrapText="1"/>
    </xf>
    <xf numFmtId="0" fontId="7" fillId="4" borderId="0" xfId="0" applyFont="1" applyFill="1"/>
    <xf numFmtId="1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6" borderId="1" xfId="0" applyFont="1" applyFill="1" applyBorder="1"/>
    <xf numFmtId="164" fontId="0" fillId="6" borderId="1" xfId="0" applyNumberFormat="1" applyFill="1" applyBorder="1" applyAlignment="1">
      <alignment horizontal="right" vertical="center" wrapText="1"/>
    </xf>
    <xf numFmtId="0" fontId="4" fillId="0" borderId="0" xfId="0" applyFont="1"/>
    <xf numFmtId="10" fontId="0" fillId="0" borderId="0" xfId="0" applyNumberFormat="1"/>
    <xf numFmtId="165" fontId="0" fillId="0" borderId="1" xfId="0" applyNumberFormat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165" fontId="0" fillId="6" borderId="1" xfId="0" applyNumberForma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selection activeCell="C31" sqref="C31"/>
    </sheetView>
  </sheetViews>
  <sheetFormatPr baseColWidth="10" defaultColWidth="8.83203125" defaultRowHeight="15" x14ac:dyDescent="0.2"/>
  <cols>
    <col min="1" max="8" width="18" customWidth="1"/>
  </cols>
  <sheetData>
    <row r="1" spans="1:8" ht="32" customHeight="1" x14ac:dyDescent="0.2">
      <c r="A1" s="29" t="s">
        <v>0</v>
      </c>
      <c r="B1" s="30"/>
      <c r="C1" s="30"/>
      <c r="D1" s="30"/>
      <c r="E1" s="30"/>
      <c r="F1" s="30"/>
      <c r="G1" s="30"/>
      <c r="H1" s="30"/>
    </row>
    <row r="3" spans="1:8" x14ac:dyDescent="0.2">
      <c r="A3" s="32" t="s">
        <v>1</v>
      </c>
      <c r="B3" s="30"/>
      <c r="C3" s="30"/>
      <c r="D3" s="30"/>
      <c r="E3" s="30"/>
      <c r="F3" s="30"/>
      <c r="G3" s="30"/>
      <c r="H3" s="30"/>
    </row>
    <row r="4" spans="1:8" x14ac:dyDescent="0.2">
      <c r="A4" s="31" t="s">
        <v>2</v>
      </c>
      <c r="B4" s="30"/>
      <c r="C4" s="30"/>
      <c r="D4" s="30"/>
      <c r="E4" s="30"/>
      <c r="F4" s="30"/>
      <c r="G4" s="30"/>
      <c r="H4" s="30"/>
    </row>
    <row r="5" spans="1:8" x14ac:dyDescent="0.2">
      <c r="A5" s="31" t="s">
        <v>3</v>
      </c>
      <c r="B5" s="30"/>
      <c r="C5" s="30"/>
      <c r="D5" s="30"/>
      <c r="E5" s="30"/>
      <c r="F5" s="30"/>
      <c r="G5" s="30"/>
      <c r="H5" s="30"/>
    </row>
    <row r="6" spans="1:8" x14ac:dyDescent="0.2">
      <c r="A6" s="31" t="s">
        <v>4</v>
      </c>
      <c r="B6" s="30"/>
      <c r="C6" s="30"/>
      <c r="D6" s="30"/>
      <c r="E6" s="30"/>
      <c r="F6" s="30"/>
      <c r="G6" s="30"/>
      <c r="H6" s="30"/>
    </row>
    <row r="7" spans="1:8" x14ac:dyDescent="0.2">
      <c r="A7" s="31" t="s">
        <v>5</v>
      </c>
      <c r="B7" s="30"/>
      <c r="C7" s="30"/>
      <c r="D7" s="30"/>
      <c r="E7" s="30"/>
      <c r="F7" s="30"/>
      <c r="G7" s="30"/>
      <c r="H7" s="30"/>
    </row>
    <row r="8" spans="1:8" x14ac:dyDescent="0.2">
      <c r="A8" s="31" t="s">
        <v>6</v>
      </c>
      <c r="B8" s="30"/>
      <c r="C8" s="30"/>
      <c r="D8" s="30"/>
      <c r="E8" s="30"/>
      <c r="F8" s="30"/>
      <c r="G8" s="30"/>
      <c r="H8" s="30"/>
    </row>
    <row r="9" spans="1:8" x14ac:dyDescent="0.2">
      <c r="A9" s="31" t="s">
        <v>7</v>
      </c>
      <c r="B9" s="30"/>
      <c r="C9" s="30"/>
      <c r="D9" s="30"/>
      <c r="E9" s="30"/>
      <c r="F9" s="30"/>
      <c r="G9" s="30"/>
      <c r="H9" s="30"/>
    </row>
    <row r="10" spans="1:8" x14ac:dyDescent="0.2">
      <c r="A10" s="32" t="s">
        <v>8</v>
      </c>
      <c r="B10" s="30"/>
      <c r="C10" s="30"/>
      <c r="D10" s="30"/>
      <c r="E10" s="30"/>
      <c r="F10" s="30"/>
      <c r="G10" s="30"/>
      <c r="H10" s="30"/>
    </row>
    <row r="11" spans="1:8" x14ac:dyDescent="0.2">
      <c r="A11" s="31" t="s">
        <v>9</v>
      </c>
      <c r="B11" s="30"/>
      <c r="C11" s="30"/>
      <c r="D11" s="30"/>
      <c r="E11" s="30"/>
      <c r="F11" s="30"/>
      <c r="G11" s="30"/>
      <c r="H11" s="30"/>
    </row>
    <row r="12" spans="1:8" x14ac:dyDescent="0.2">
      <c r="A12" s="31" t="s">
        <v>10</v>
      </c>
      <c r="B12" s="30"/>
      <c r="C12" s="30"/>
      <c r="D12" s="30"/>
      <c r="E12" s="30"/>
      <c r="F12" s="30"/>
      <c r="G12" s="30"/>
      <c r="H12" s="30"/>
    </row>
    <row r="13" spans="1:8" x14ac:dyDescent="0.2">
      <c r="A13" s="31" t="s">
        <v>11</v>
      </c>
      <c r="B13" s="30"/>
      <c r="C13" s="30"/>
      <c r="D13" s="30"/>
      <c r="E13" s="30"/>
      <c r="F13" s="30"/>
      <c r="G13" s="30"/>
      <c r="H13" s="30"/>
    </row>
    <row r="14" spans="1:8" x14ac:dyDescent="0.2">
      <c r="A14" s="31" t="s">
        <v>12</v>
      </c>
      <c r="B14" s="30"/>
      <c r="C14" s="30"/>
      <c r="D14" s="30"/>
      <c r="E14" s="30"/>
      <c r="F14" s="30"/>
      <c r="G14" s="30"/>
      <c r="H14" s="30"/>
    </row>
    <row r="18" spans="1:8" x14ac:dyDescent="0.2">
      <c r="A18" s="33" t="s">
        <v>13</v>
      </c>
      <c r="B18" s="30"/>
      <c r="C18" s="30"/>
      <c r="D18" s="30"/>
      <c r="E18" s="30"/>
      <c r="F18" s="30"/>
      <c r="G18" s="30"/>
      <c r="H18" s="30"/>
    </row>
    <row r="20" spans="1:8" x14ac:dyDescent="0.2">
      <c r="A20" s="36" t="s">
        <v>99</v>
      </c>
      <c r="B20" s="36"/>
      <c r="C20" s="36"/>
    </row>
  </sheetData>
  <mergeCells count="14">
    <mergeCell ref="A18:H18"/>
    <mergeCell ref="A3:H3"/>
    <mergeCell ref="A12:H12"/>
    <mergeCell ref="A14:H14"/>
    <mergeCell ref="A1:H1"/>
    <mergeCell ref="A7:H7"/>
    <mergeCell ref="A10:H10"/>
    <mergeCell ref="A13:H13"/>
    <mergeCell ref="A11:H11"/>
    <mergeCell ref="A5:H5"/>
    <mergeCell ref="A8:H8"/>
    <mergeCell ref="A6:H6"/>
    <mergeCell ref="A9:H9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workbookViewId="0">
      <selection activeCell="B4" sqref="B4"/>
    </sheetView>
  </sheetViews>
  <sheetFormatPr baseColWidth="10" defaultColWidth="8.83203125" defaultRowHeight="15" x14ac:dyDescent="0.2"/>
  <cols>
    <col min="1" max="1" width="46" customWidth="1"/>
    <col min="2" max="2" width="18" customWidth="1"/>
    <col min="3" max="3" width="60" customWidth="1"/>
    <col min="4" max="5" width="16" customWidth="1"/>
    <col min="6" max="8" width="14" customWidth="1"/>
  </cols>
  <sheetData>
    <row r="1" spans="1:8" ht="30" customHeight="1" x14ac:dyDescent="0.2">
      <c r="A1" s="29" t="s">
        <v>14</v>
      </c>
      <c r="B1" s="30"/>
      <c r="C1" s="30"/>
      <c r="D1" s="30"/>
      <c r="E1" s="30"/>
      <c r="F1" s="30"/>
      <c r="G1" s="30"/>
      <c r="H1" s="30"/>
    </row>
    <row r="3" spans="1:8" x14ac:dyDescent="0.2">
      <c r="A3" s="34" t="s">
        <v>15</v>
      </c>
      <c r="B3" s="30"/>
      <c r="C3" s="30"/>
      <c r="D3" s="30"/>
      <c r="E3" s="30"/>
      <c r="F3" s="30"/>
      <c r="G3" s="30"/>
      <c r="H3" s="30"/>
    </row>
    <row r="4" spans="1:8" ht="16" x14ac:dyDescent="0.2">
      <c r="A4" s="2" t="s">
        <v>16</v>
      </c>
      <c r="B4" s="3" t="s">
        <v>7</v>
      </c>
    </row>
    <row r="5" spans="1:8" ht="16" x14ac:dyDescent="0.2">
      <c r="A5" s="2" t="s">
        <v>17</v>
      </c>
      <c r="B5" s="4">
        <v>10</v>
      </c>
    </row>
    <row r="6" spans="1:8" ht="32" x14ac:dyDescent="0.2">
      <c r="A6" s="5" t="s">
        <v>18</v>
      </c>
      <c r="B6" s="6" t="str">
        <f>IF(B5&gt;10,"Over 10 employees","10 or fewer employees")</f>
        <v>10 or fewer employees</v>
      </c>
    </row>
    <row r="7" spans="1:8" ht="16" x14ac:dyDescent="0.2">
      <c r="A7" s="2" t="s">
        <v>19</v>
      </c>
      <c r="B7" s="7">
        <f>IF(B5&gt;10,B8,0.5)</f>
        <v>0.5</v>
      </c>
    </row>
    <row r="8" spans="1:8" x14ac:dyDescent="0.2">
      <c r="A8" s="5" t="s">
        <v>20</v>
      </c>
      <c r="B8" s="8">
        <v>0.5</v>
      </c>
    </row>
    <row r="9" spans="1:8" ht="16" x14ac:dyDescent="0.2">
      <c r="A9" s="2" t="s">
        <v>21</v>
      </c>
      <c r="B9" s="7">
        <f>IF(B5&gt;10,1-B7,B10)</f>
        <v>0</v>
      </c>
    </row>
    <row r="10" spans="1:8" ht="26" x14ac:dyDescent="0.2">
      <c r="A10" s="5" t="s">
        <v>22</v>
      </c>
      <c r="B10" s="8">
        <v>0</v>
      </c>
    </row>
    <row r="11" spans="1:8" x14ac:dyDescent="0.2">
      <c r="A11" s="5" t="s">
        <v>23</v>
      </c>
      <c r="B11" s="7">
        <f>MAX(0,1-B7-B9)</f>
        <v>0.5</v>
      </c>
    </row>
    <row r="13" spans="1:8" x14ac:dyDescent="0.2">
      <c r="A13" s="34" t="s">
        <v>24</v>
      </c>
      <c r="B13" s="30"/>
      <c r="C13" s="30"/>
      <c r="D13" s="30"/>
      <c r="E13" s="30"/>
      <c r="F13" s="30"/>
      <c r="G13" s="30"/>
      <c r="H13" s="30"/>
    </row>
    <row r="14" spans="1:8" ht="16" x14ac:dyDescent="0.2">
      <c r="A14" t="s">
        <v>25</v>
      </c>
      <c r="B14" s="9">
        <v>184500</v>
      </c>
      <c r="D14" s="10" t="s">
        <v>26</v>
      </c>
      <c r="E14" s="10" t="s">
        <v>27</v>
      </c>
    </row>
    <row r="15" spans="1:8" ht="16" x14ac:dyDescent="0.2">
      <c r="A15" t="s">
        <v>28</v>
      </c>
      <c r="B15" s="11" t="s">
        <v>29</v>
      </c>
      <c r="D15" s="6" t="s">
        <v>30</v>
      </c>
      <c r="E15" s="12">
        <v>52</v>
      </c>
    </row>
    <row r="16" spans="1:8" ht="16" x14ac:dyDescent="0.2">
      <c r="D16" s="6" t="s">
        <v>29</v>
      </c>
      <c r="E16" s="12">
        <v>26</v>
      </c>
    </row>
    <row r="17" spans="1:8" x14ac:dyDescent="0.2">
      <c r="A17" s="34" t="s">
        <v>31</v>
      </c>
      <c r="B17" s="30"/>
      <c r="C17" s="30"/>
      <c r="D17" s="30"/>
      <c r="E17" s="30"/>
      <c r="F17" s="30"/>
      <c r="G17" s="30"/>
      <c r="H17" s="30"/>
    </row>
    <row r="18" spans="1:8" ht="16" x14ac:dyDescent="0.2">
      <c r="A18" s="10" t="s">
        <v>32</v>
      </c>
      <c r="B18" s="10" t="s">
        <v>33</v>
      </c>
      <c r="C18" s="10" t="s">
        <v>34</v>
      </c>
      <c r="D18" s="6" t="s">
        <v>35</v>
      </c>
      <c r="E18" s="12">
        <v>12</v>
      </c>
    </row>
    <row r="19" spans="1:8" ht="16" x14ac:dyDescent="0.2">
      <c r="A19" s="6" t="s">
        <v>36</v>
      </c>
      <c r="B19" s="13">
        <v>5.0000000000000001E-3</v>
      </c>
      <c r="C19" s="14" t="s">
        <v>37</v>
      </c>
    </row>
    <row r="20" spans="1:8" ht="16" x14ac:dyDescent="0.2">
      <c r="A20" s="6" t="s">
        <v>38</v>
      </c>
      <c r="B20" s="13">
        <v>7.1999999999999998E-3</v>
      </c>
      <c r="C20" s="14" t="s">
        <v>39</v>
      </c>
    </row>
    <row r="21" spans="1:8" ht="32" x14ac:dyDescent="0.2">
      <c r="A21" s="6" t="s">
        <v>40</v>
      </c>
      <c r="B21" s="13">
        <v>8.8000000000000005E-3</v>
      </c>
      <c r="C21" s="14" t="s">
        <v>41</v>
      </c>
    </row>
    <row r="22" spans="1:8" ht="16" x14ac:dyDescent="0.2">
      <c r="A22" s="6" t="s">
        <v>42</v>
      </c>
      <c r="B22" s="13">
        <v>0.01</v>
      </c>
      <c r="C22" s="14" t="s">
        <v>43</v>
      </c>
    </row>
    <row r="23" spans="1:8" ht="32" x14ac:dyDescent="0.2">
      <c r="A23" s="6" t="s">
        <v>44</v>
      </c>
      <c r="B23" s="13">
        <v>1.1299999999999999E-2</v>
      </c>
      <c r="C23" s="14" t="s">
        <v>45</v>
      </c>
    </row>
    <row r="24" spans="1:8" ht="16" x14ac:dyDescent="0.2">
      <c r="A24" s="6" t="s">
        <v>46</v>
      </c>
      <c r="B24" s="13">
        <v>1.4999999999999999E-2</v>
      </c>
      <c r="C24" s="14" t="s">
        <v>47</v>
      </c>
    </row>
  </sheetData>
  <mergeCells count="4">
    <mergeCell ref="A3:H3"/>
    <mergeCell ref="A13:H13"/>
    <mergeCell ref="A17:H17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showGridLines="0" workbookViewId="0">
      <selection activeCell="D40" sqref="D40"/>
    </sheetView>
  </sheetViews>
  <sheetFormatPr baseColWidth="10" defaultColWidth="8.83203125" defaultRowHeight="15" x14ac:dyDescent="0.2"/>
  <cols>
    <col min="1" max="1" width="24" customWidth="1"/>
    <col min="2" max="2" width="18" customWidth="1"/>
    <col min="3" max="3" width="16" customWidth="1"/>
    <col min="4" max="4" width="22" customWidth="1"/>
    <col min="5" max="5" width="35" customWidth="1"/>
  </cols>
  <sheetData>
    <row r="1" spans="1:8" ht="28" customHeight="1" x14ac:dyDescent="0.2">
      <c r="A1" s="29" t="s">
        <v>48</v>
      </c>
      <c r="B1" s="30"/>
      <c r="C1" s="30"/>
      <c r="D1" s="30"/>
      <c r="E1" s="30"/>
      <c r="F1" s="30"/>
      <c r="G1" s="30"/>
      <c r="H1" s="30"/>
    </row>
    <row r="3" spans="1:8" x14ac:dyDescent="0.2">
      <c r="A3" s="35" t="s">
        <v>49</v>
      </c>
      <c r="B3" s="30"/>
      <c r="C3" s="30"/>
      <c r="D3" s="30"/>
      <c r="E3" s="30"/>
      <c r="F3" s="30"/>
      <c r="G3" s="30"/>
      <c r="H3" s="30"/>
    </row>
    <row r="5" spans="1:8" ht="22" customHeight="1" x14ac:dyDescent="0.2">
      <c r="A5" s="10" t="s">
        <v>50</v>
      </c>
      <c r="B5" s="10" t="s">
        <v>51</v>
      </c>
      <c r="C5" s="10" t="s">
        <v>26</v>
      </c>
      <c r="D5" s="10" t="s">
        <v>52</v>
      </c>
      <c r="E5" s="10" t="s">
        <v>53</v>
      </c>
    </row>
    <row r="6" spans="1:8" ht="16" x14ac:dyDescent="0.2">
      <c r="A6" s="6" t="s">
        <v>97</v>
      </c>
      <c r="B6" s="15">
        <v>45000</v>
      </c>
      <c r="C6" s="3" t="s">
        <v>29</v>
      </c>
      <c r="D6" s="16">
        <f>IF(B6="","",MIN(B6,Assumptions!$B$14))</f>
        <v>45000</v>
      </c>
      <c r="E6" s="6"/>
    </row>
    <row r="7" spans="1:8" ht="16" x14ac:dyDescent="0.2">
      <c r="A7" s="6" t="s">
        <v>98</v>
      </c>
      <c r="B7" s="15">
        <v>50000</v>
      </c>
      <c r="C7" s="3" t="s">
        <v>29</v>
      </c>
      <c r="D7" s="16">
        <f>IF(B7="","",MIN(B7,Assumptions!$B$14))</f>
        <v>50000</v>
      </c>
      <c r="E7" s="6"/>
    </row>
    <row r="8" spans="1:8" ht="16" x14ac:dyDescent="0.2">
      <c r="A8" s="6"/>
      <c r="B8" s="15"/>
      <c r="C8" s="3"/>
      <c r="D8" s="16" t="str">
        <f>IF(B8="","",MIN(B8,Assumptions!$B$14))</f>
        <v/>
      </c>
      <c r="E8" s="6"/>
    </row>
    <row r="9" spans="1:8" ht="16" x14ac:dyDescent="0.2">
      <c r="A9" s="6"/>
      <c r="B9" s="15"/>
      <c r="C9" s="3"/>
      <c r="D9" s="16" t="str">
        <f>IF(B9="","",MIN(B9,Assumptions!$B$14))</f>
        <v/>
      </c>
      <c r="E9" s="6"/>
    </row>
    <row r="10" spans="1:8" ht="16" x14ac:dyDescent="0.2">
      <c r="A10" s="6"/>
      <c r="B10" s="15"/>
      <c r="C10" s="3"/>
      <c r="D10" s="16" t="str">
        <f>IF(B10="","",MIN(B10,Assumptions!$B$14))</f>
        <v/>
      </c>
      <c r="E10" s="6"/>
    </row>
    <row r="11" spans="1:8" ht="16" x14ac:dyDescent="0.2">
      <c r="A11" s="6"/>
      <c r="B11" s="15"/>
      <c r="C11" s="3"/>
      <c r="D11" s="16" t="str">
        <f>IF(B11="","",MIN(B11,Assumptions!$B$14))</f>
        <v/>
      </c>
      <c r="E11" s="6"/>
    </row>
    <row r="12" spans="1:8" ht="16" x14ac:dyDescent="0.2">
      <c r="A12" s="6"/>
      <c r="B12" s="15"/>
      <c r="C12" s="3"/>
      <c r="D12" s="16" t="str">
        <f>IF(B12="","",MIN(B12,Assumptions!$B$14))</f>
        <v/>
      </c>
      <c r="E12" s="6"/>
    </row>
    <row r="13" spans="1:8" ht="16" x14ac:dyDescent="0.2">
      <c r="A13" s="6"/>
      <c r="B13" s="15"/>
      <c r="C13" s="3"/>
      <c r="D13" s="16" t="str">
        <f>IF(B13="","",MIN(B13,Assumptions!$B$14))</f>
        <v/>
      </c>
      <c r="E13" s="6"/>
    </row>
    <row r="14" spans="1:8" ht="16" x14ac:dyDescent="0.2">
      <c r="A14" s="6"/>
      <c r="B14" s="15"/>
      <c r="C14" s="3"/>
      <c r="D14" s="16" t="str">
        <f>IF(B14="","",MIN(B14,Assumptions!$B$14))</f>
        <v/>
      </c>
      <c r="E14" s="6"/>
    </row>
    <row r="15" spans="1:8" ht="16" x14ac:dyDescent="0.2">
      <c r="A15" s="6"/>
      <c r="B15" s="15"/>
      <c r="C15" s="3"/>
      <c r="D15" s="16" t="str">
        <f>IF(B15="","",MIN(B15,Assumptions!$B$14))</f>
        <v/>
      </c>
      <c r="E15" s="6"/>
    </row>
    <row r="16" spans="1:8" ht="16" x14ac:dyDescent="0.2">
      <c r="A16" s="6"/>
      <c r="B16" s="15"/>
      <c r="C16" s="3"/>
      <c r="D16" s="16" t="str">
        <f>IF(B16="","",MIN(B16,Assumptions!$B$14))</f>
        <v/>
      </c>
      <c r="E16" s="6"/>
    </row>
    <row r="17" spans="1:5" ht="16" x14ac:dyDescent="0.2">
      <c r="A17" s="6"/>
      <c r="B17" s="15"/>
      <c r="C17" s="3"/>
      <c r="D17" s="16" t="str">
        <f>IF(B17="","",MIN(B17,Assumptions!$B$14))</f>
        <v/>
      </c>
      <c r="E17" s="6"/>
    </row>
    <row r="18" spans="1:5" ht="16" x14ac:dyDescent="0.2">
      <c r="A18" s="6"/>
      <c r="B18" s="15"/>
      <c r="C18" s="3"/>
      <c r="D18" s="16" t="str">
        <f>IF(B18="","",MIN(B18,Assumptions!$B$14))</f>
        <v/>
      </c>
      <c r="E18" s="6"/>
    </row>
    <row r="19" spans="1:5" ht="16" x14ac:dyDescent="0.2">
      <c r="A19" s="6"/>
      <c r="B19" s="15"/>
      <c r="C19" s="3"/>
      <c r="D19" s="16" t="str">
        <f>IF(B19="","",MIN(B19,Assumptions!$B$14))</f>
        <v/>
      </c>
      <c r="E19" s="6"/>
    </row>
    <row r="20" spans="1:5" ht="16" x14ac:dyDescent="0.2">
      <c r="A20" s="6"/>
      <c r="B20" s="15"/>
      <c r="C20" s="3"/>
      <c r="D20" s="16" t="str">
        <f>IF(B20="","",MIN(B20,Assumptions!$B$14))</f>
        <v/>
      </c>
      <c r="E20" s="6"/>
    </row>
    <row r="21" spans="1:5" ht="16" x14ac:dyDescent="0.2">
      <c r="A21" s="6"/>
      <c r="B21" s="15"/>
      <c r="C21" s="3"/>
      <c r="D21" s="16" t="str">
        <f>IF(B21="","",MIN(B21,Assumptions!$B$14))</f>
        <v/>
      </c>
      <c r="E21" s="6"/>
    </row>
    <row r="22" spans="1:5" ht="16" x14ac:dyDescent="0.2">
      <c r="A22" s="6"/>
      <c r="B22" s="15"/>
      <c r="C22" s="3"/>
      <c r="D22" s="16" t="str">
        <f>IF(B22="","",MIN(B22,Assumptions!$B$14))</f>
        <v/>
      </c>
      <c r="E22" s="6"/>
    </row>
    <row r="23" spans="1:5" ht="16" x14ac:dyDescent="0.2">
      <c r="A23" s="6"/>
      <c r="B23" s="15"/>
      <c r="C23" s="3"/>
      <c r="D23" s="16" t="str">
        <f>IF(B23="","",MIN(B23,Assumptions!$B$14))</f>
        <v/>
      </c>
      <c r="E23" s="6"/>
    </row>
    <row r="24" spans="1:5" ht="16" x14ac:dyDescent="0.2">
      <c r="A24" s="6"/>
      <c r="B24" s="15"/>
      <c r="C24" s="3"/>
      <c r="D24" s="16" t="str">
        <f>IF(B24="","",MIN(B24,Assumptions!$B$14))</f>
        <v/>
      </c>
      <c r="E24" s="6"/>
    </row>
    <row r="25" spans="1:5" ht="16" x14ac:dyDescent="0.2">
      <c r="A25" s="6"/>
      <c r="B25" s="15"/>
      <c r="C25" s="3"/>
      <c r="D25" s="16" t="str">
        <f>IF(B25="","",MIN(B25,Assumptions!$B$14))</f>
        <v/>
      </c>
      <c r="E25" s="6"/>
    </row>
    <row r="26" spans="1:5" ht="16" x14ac:dyDescent="0.2">
      <c r="A26" s="6"/>
      <c r="B26" s="15"/>
      <c r="C26" s="3"/>
      <c r="D26" s="16" t="str">
        <f>IF(B26="","",MIN(B26,Assumptions!$B$14))</f>
        <v/>
      </c>
      <c r="E26" s="6"/>
    </row>
    <row r="27" spans="1:5" ht="16" x14ac:dyDescent="0.2">
      <c r="A27" s="6"/>
      <c r="B27" s="15"/>
      <c r="C27" s="3"/>
      <c r="D27" s="16" t="str">
        <f>IF(B27="","",MIN(B27,Assumptions!$B$14))</f>
        <v/>
      </c>
      <c r="E27" s="6"/>
    </row>
    <row r="28" spans="1:5" ht="16" x14ac:dyDescent="0.2">
      <c r="A28" s="6"/>
      <c r="B28" s="15"/>
      <c r="C28" s="3"/>
      <c r="D28" s="16" t="str">
        <f>IF(B28="","",MIN(B28,Assumptions!$B$14))</f>
        <v/>
      </c>
      <c r="E28" s="6"/>
    </row>
    <row r="29" spans="1:5" ht="16" x14ac:dyDescent="0.2">
      <c r="A29" s="6"/>
      <c r="B29" s="15"/>
      <c r="C29" s="3"/>
      <c r="D29" s="16" t="str">
        <f>IF(B29="","",MIN(B29,Assumptions!$B$14))</f>
        <v/>
      </c>
      <c r="E29" s="6"/>
    </row>
    <row r="30" spans="1:5" ht="16" x14ac:dyDescent="0.2">
      <c r="A30" s="6"/>
      <c r="B30" s="15"/>
      <c r="C30" s="3"/>
      <c r="D30" s="16" t="str">
        <f>IF(B30="","",MIN(B30,Assumptions!$B$14))</f>
        <v/>
      </c>
      <c r="E30" s="6"/>
    </row>
    <row r="31" spans="1:5" ht="16" x14ac:dyDescent="0.2">
      <c r="A31" s="6"/>
      <c r="B31" s="15"/>
      <c r="C31" s="3"/>
      <c r="D31" s="16" t="str">
        <f>IF(B31="","",MIN(B31,Assumptions!$B$14))</f>
        <v/>
      </c>
      <c r="E31" s="6"/>
    </row>
    <row r="32" spans="1:5" ht="16" x14ac:dyDescent="0.2">
      <c r="A32" s="6"/>
      <c r="B32" s="15"/>
      <c r="C32" s="3"/>
      <c r="D32" s="16" t="str">
        <f>IF(B32="","",MIN(B32,Assumptions!$B$14))</f>
        <v/>
      </c>
      <c r="E32" s="6"/>
    </row>
    <row r="33" spans="1:5" ht="16" x14ac:dyDescent="0.2">
      <c r="A33" s="6"/>
      <c r="B33" s="15"/>
      <c r="C33" s="3"/>
      <c r="D33" s="16" t="str">
        <f>IF(B33="","",MIN(B33,Assumptions!$B$14))</f>
        <v/>
      </c>
      <c r="E33" s="6"/>
    </row>
    <row r="34" spans="1:5" ht="16" x14ac:dyDescent="0.2">
      <c r="A34" s="6"/>
      <c r="B34" s="15"/>
      <c r="C34" s="3"/>
      <c r="D34" s="16" t="str">
        <f>IF(B34="","",MIN(B34,Assumptions!$B$14))</f>
        <v/>
      </c>
      <c r="E34" s="6"/>
    </row>
    <row r="35" spans="1:5" ht="16" x14ac:dyDescent="0.2">
      <c r="A35" s="6"/>
      <c r="B35" s="15"/>
      <c r="C35" s="3"/>
      <c r="D35" s="16" t="str">
        <f>IF(B35="","",MIN(B35,Assumptions!$B$14))</f>
        <v/>
      </c>
      <c r="E35" s="6"/>
    </row>
    <row r="37" spans="1:5" x14ac:dyDescent="0.2">
      <c r="A37" s="17" t="s">
        <v>54</v>
      </c>
      <c r="B37" s="18">
        <f>SUM(B6:B35)</f>
        <v>95000</v>
      </c>
      <c r="D37" s="18">
        <f>SUM(D6:D35)</f>
        <v>95000</v>
      </c>
    </row>
  </sheetData>
  <mergeCells count="2">
    <mergeCell ref="A3:H3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workbookViewId="0">
      <selection sqref="A1:L1"/>
    </sheetView>
  </sheetViews>
  <sheetFormatPr baseColWidth="10" defaultColWidth="8.83203125" defaultRowHeight="15" x14ac:dyDescent="0.2"/>
  <cols>
    <col min="1" max="1" width="22" customWidth="1"/>
    <col min="2" max="3" width="14" customWidth="1"/>
    <col min="4" max="4" width="10" customWidth="1"/>
    <col min="5" max="6" width="14" customWidth="1"/>
    <col min="7" max="8" width="12" customWidth="1"/>
    <col min="9" max="11" width="14" customWidth="1"/>
    <col min="12" max="12" width="12" customWidth="1"/>
  </cols>
  <sheetData>
    <row r="1" spans="1:12" ht="28" customHeight="1" x14ac:dyDescent="0.2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x14ac:dyDescent="0.2">
      <c r="A3" s="19" t="s">
        <v>56</v>
      </c>
      <c r="B3" s="11" t="s">
        <v>38</v>
      </c>
      <c r="D3" s="19" t="s">
        <v>57</v>
      </c>
      <c r="E3" s="20">
        <f>Assumptions!$B$7</f>
        <v>0.5</v>
      </c>
    </row>
    <row r="4" spans="1:12" x14ac:dyDescent="0.2">
      <c r="A4" s="19" t="s">
        <v>58</v>
      </c>
      <c r="B4" s="20">
        <f>VLOOKUP(B3,Assumptions!$A$19:$B$24,2,FALSE)</f>
        <v>7.1999999999999998E-3</v>
      </c>
      <c r="D4" s="19" t="s">
        <v>59</v>
      </c>
      <c r="E4" s="20">
        <f>Assumptions!$B$9</f>
        <v>0</v>
      </c>
    </row>
    <row r="6" spans="1:12" ht="26" customHeight="1" x14ac:dyDescent="0.2">
      <c r="A6" s="10" t="s">
        <v>50</v>
      </c>
      <c r="B6" s="10" t="s">
        <v>60</v>
      </c>
      <c r="C6" s="10" t="s">
        <v>26</v>
      </c>
      <c r="D6" s="10" t="s">
        <v>61</v>
      </c>
      <c r="E6" s="10" t="s">
        <v>62</v>
      </c>
      <c r="F6" s="10" t="s">
        <v>63</v>
      </c>
      <c r="G6" s="10" t="s">
        <v>57</v>
      </c>
      <c r="H6" s="10" t="s">
        <v>59</v>
      </c>
      <c r="I6" s="10" t="s">
        <v>64</v>
      </c>
      <c r="J6" s="10" t="s">
        <v>65</v>
      </c>
      <c r="K6" s="10" t="s">
        <v>66</v>
      </c>
      <c r="L6" s="10" t="s">
        <v>67</v>
      </c>
    </row>
    <row r="7" spans="1:12" ht="16" x14ac:dyDescent="0.2">
      <c r="A7" s="6" t="str">
        <f>INDEX(Emp!$A$6:$A$35,ROW()-6)</f>
        <v>Employee 1</v>
      </c>
      <c r="B7" s="16">
        <f>INDEX(Emp!$B$6:$B$35,ROW()-6)</f>
        <v>45000</v>
      </c>
      <c r="C7" s="6" t="str">
        <f>IF(INDEX(Emp!$C$6:$C$35,ROW()-6)="",Assumptions!$B$15,INDEX(Emp!$C$6:$C$35,ROW()-6))</f>
        <v>Biweekly</v>
      </c>
      <c r="D7" s="12">
        <f>IF(C7="","",VLOOKUP(C7,Assumptions!$D$15:$E$18,2,FALSE))</f>
        <v>26</v>
      </c>
      <c r="E7" s="16">
        <f>INDEX(Emp!$D$6:$D$35,ROW()-6)</f>
        <v>45000</v>
      </c>
      <c r="F7" s="21">
        <f t="shared" ref="F7:F35" si="0">IF(B7="","",E7*$B$4)</f>
        <v>324</v>
      </c>
      <c r="G7" s="7">
        <f>IF(B7="","",Assumptions!$B$7)</f>
        <v>0.5</v>
      </c>
      <c r="H7" s="7">
        <f>IF(B7="","",Assumptions!$B$9)</f>
        <v>0</v>
      </c>
      <c r="I7" s="21">
        <f t="shared" ref="I7:I35" si="1">IF(B7="","",F7*G7)</f>
        <v>162</v>
      </c>
      <c r="J7" s="21">
        <f t="shared" ref="J7:J35" si="2">IF(B7="","",IF(D7=0,"",I7/D7))</f>
        <v>6.2307692307692308</v>
      </c>
      <c r="K7" s="21">
        <f t="shared" ref="K7:K35" si="3">IF(B7="","",F7*H7)</f>
        <v>0</v>
      </c>
      <c r="L7" s="21">
        <f t="shared" ref="L7:L36" si="4">IF(A7="","",MAX(0,F7-I7-K7))</f>
        <v>162</v>
      </c>
    </row>
    <row r="8" spans="1:12" ht="16" x14ac:dyDescent="0.2">
      <c r="A8" s="6" t="str">
        <f>INDEX(Emp!$A$6:$A$35,ROW()-6)</f>
        <v>Employee 2</v>
      </c>
      <c r="B8" s="16">
        <f>INDEX(Emp!$B$6:$B$35,ROW()-6)</f>
        <v>50000</v>
      </c>
      <c r="C8" s="6" t="str">
        <f>IF(INDEX(Emp!$C$6:$C$35,ROW()-6)="",Assumptions!$B$15,INDEX(Emp!$C$6:$C$35,ROW()-6))</f>
        <v>Biweekly</v>
      </c>
      <c r="D8" s="12">
        <f>IF(C8="","",VLOOKUP(C8,Assumptions!$D$15:$E$18,2,FALSE))</f>
        <v>26</v>
      </c>
      <c r="E8" s="16">
        <f>INDEX(Emp!$D$6:$D$35,ROW()-6)</f>
        <v>50000</v>
      </c>
      <c r="F8" s="21">
        <f t="shared" si="0"/>
        <v>360</v>
      </c>
      <c r="G8" s="7">
        <f>IF(B8="","",Assumptions!$B$7)</f>
        <v>0.5</v>
      </c>
      <c r="H8" s="7">
        <f>IF(B8="","",Assumptions!$B$9)</f>
        <v>0</v>
      </c>
      <c r="I8" s="21">
        <f t="shared" si="1"/>
        <v>180</v>
      </c>
      <c r="J8" s="21">
        <f t="shared" si="2"/>
        <v>6.9230769230769234</v>
      </c>
      <c r="K8" s="21">
        <f t="shared" si="3"/>
        <v>0</v>
      </c>
      <c r="L8" s="21">
        <f t="shared" si="4"/>
        <v>180</v>
      </c>
    </row>
    <row r="9" spans="1:12" ht="16" x14ac:dyDescent="0.2">
      <c r="A9" s="6">
        <f>INDEX(Emp!$A$6:$A$35,ROW()-6)</f>
        <v>0</v>
      </c>
      <c r="B9" s="16">
        <f>INDEX(Emp!$B$6:$B$35,ROW()-6)</f>
        <v>0</v>
      </c>
      <c r="C9" s="6" t="str">
        <f>IF(INDEX(Emp!$C$6:$C$35,ROW()-6)="",Assumptions!$B$15,INDEX(Emp!$C$6:$C$35,ROW()-6))</f>
        <v>Biweekly</v>
      </c>
      <c r="D9" s="12">
        <f>IF(C9="","",VLOOKUP(C9,Assumptions!$D$15:$E$18,2,FALSE))</f>
        <v>26</v>
      </c>
      <c r="E9" s="16" t="str">
        <f>INDEX(Emp!$D$6:$D$35,ROW()-6)</f>
        <v/>
      </c>
      <c r="F9" s="21" t="e">
        <f t="shared" si="0"/>
        <v>#VALUE!</v>
      </c>
      <c r="G9" s="7">
        <f>IF(B9="","",Assumptions!$B$7)</f>
        <v>0.5</v>
      </c>
      <c r="H9" s="7">
        <f>IF(B9="","",Assumptions!$B$9)</f>
        <v>0</v>
      </c>
      <c r="I9" s="21" t="e">
        <f t="shared" si="1"/>
        <v>#VALUE!</v>
      </c>
      <c r="J9" s="21" t="e">
        <f t="shared" si="2"/>
        <v>#VALUE!</v>
      </c>
      <c r="K9" s="21" t="e">
        <f t="shared" si="3"/>
        <v>#VALUE!</v>
      </c>
      <c r="L9" s="21" t="e">
        <f t="shared" si="4"/>
        <v>#VALUE!</v>
      </c>
    </row>
    <row r="10" spans="1:12" ht="16" x14ac:dyDescent="0.2">
      <c r="A10" s="6">
        <f>INDEX(Emp!$A$6:$A$35,ROW()-6)</f>
        <v>0</v>
      </c>
      <c r="B10" s="16">
        <f>INDEX(Emp!$B$6:$B$35,ROW()-6)</f>
        <v>0</v>
      </c>
      <c r="C10" s="6" t="str">
        <f>IF(INDEX(Emp!$C$6:$C$35,ROW()-6)="",Assumptions!$B$15,INDEX(Emp!$C$6:$C$35,ROW()-6))</f>
        <v>Biweekly</v>
      </c>
      <c r="D10" s="12">
        <f>IF(C10="","",VLOOKUP(C10,Assumptions!$D$15:$E$18,2,FALSE))</f>
        <v>26</v>
      </c>
      <c r="E10" s="16" t="str">
        <f>INDEX(Emp!$D$6:$D$35,ROW()-6)</f>
        <v/>
      </c>
      <c r="F10" s="21" t="e">
        <f t="shared" si="0"/>
        <v>#VALUE!</v>
      </c>
      <c r="G10" s="7">
        <f>IF(B10="","",Assumptions!$B$7)</f>
        <v>0.5</v>
      </c>
      <c r="H10" s="7">
        <f>IF(B10="","",Assumptions!$B$9)</f>
        <v>0</v>
      </c>
      <c r="I10" s="21" t="e">
        <f t="shared" si="1"/>
        <v>#VALUE!</v>
      </c>
      <c r="J10" s="21" t="e">
        <f t="shared" si="2"/>
        <v>#VALUE!</v>
      </c>
      <c r="K10" s="21" t="e">
        <f t="shared" si="3"/>
        <v>#VALUE!</v>
      </c>
      <c r="L10" s="21" t="e">
        <f t="shared" si="4"/>
        <v>#VALUE!</v>
      </c>
    </row>
    <row r="11" spans="1:12" ht="16" x14ac:dyDescent="0.2">
      <c r="A11" s="6">
        <f>INDEX(Emp!$A$6:$A$35,ROW()-6)</f>
        <v>0</v>
      </c>
      <c r="B11" s="16">
        <f>INDEX(Emp!$B$6:$B$35,ROW()-6)</f>
        <v>0</v>
      </c>
      <c r="C11" s="6" t="str">
        <f>IF(INDEX(Emp!$C$6:$C$35,ROW()-6)="",Assumptions!$B$15,INDEX(Emp!$C$6:$C$35,ROW()-6))</f>
        <v>Biweekly</v>
      </c>
      <c r="D11" s="12">
        <f>IF(C11="","",VLOOKUP(C11,Assumptions!$D$15:$E$18,2,FALSE))</f>
        <v>26</v>
      </c>
      <c r="E11" s="16" t="str">
        <f>INDEX(Emp!$D$6:$D$35,ROW()-6)</f>
        <v/>
      </c>
      <c r="F11" s="21" t="e">
        <f t="shared" si="0"/>
        <v>#VALUE!</v>
      </c>
      <c r="G11" s="7">
        <f>IF(B11="","",Assumptions!$B$7)</f>
        <v>0.5</v>
      </c>
      <c r="H11" s="7">
        <f>IF(B11="","",Assumptions!$B$9)</f>
        <v>0</v>
      </c>
      <c r="I11" s="21" t="e">
        <f t="shared" si="1"/>
        <v>#VALUE!</v>
      </c>
      <c r="J11" s="21" t="e">
        <f t="shared" si="2"/>
        <v>#VALUE!</v>
      </c>
      <c r="K11" s="21" t="e">
        <f t="shared" si="3"/>
        <v>#VALUE!</v>
      </c>
      <c r="L11" s="21" t="e">
        <f t="shared" si="4"/>
        <v>#VALUE!</v>
      </c>
    </row>
    <row r="12" spans="1:12" ht="16" x14ac:dyDescent="0.2">
      <c r="A12" s="6">
        <f>INDEX(Emp!$A$6:$A$35,ROW()-6)</f>
        <v>0</v>
      </c>
      <c r="B12" s="16">
        <f>INDEX(Emp!$B$6:$B$35,ROW()-6)</f>
        <v>0</v>
      </c>
      <c r="C12" s="6" t="str">
        <f>IF(INDEX(Emp!$C$6:$C$35,ROW()-6)="",Assumptions!$B$15,INDEX(Emp!$C$6:$C$35,ROW()-6))</f>
        <v>Biweekly</v>
      </c>
      <c r="D12" s="12">
        <f>IF(C12="","",VLOOKUP(C12,Assumptions!$D$15:$E$18,2,FALSE))</f>
        <v>26</v>
      </c>
      <c r="E12" s="16" t="str">
        <f>INDEX(Emp!$D$6:$D$35,ROW()-6)</f>
        <v/>
      </c>
      <c r="F12" s="21" t="e">
        <f t="shared" si="0"/>
        <v>#VALUE!</v>
      </c>
      <c r="G12" s="7">
        <f>IF(B12="","",Assumptions!$B$7)</f>
        <v>0.5</v>
      </c>
      <c r="H12" s="7">
        <f>IF(B12="","",Assumptions!$B$9)</f>
        <v>0</v>
      </c>
      <c r="I12" s="21" t="e">
        <f t="shared" si="1"/>
        <v>#VALUE!</v>
      </c>
      <c r="J12" s="21" t="e">
        <f t="shared" si="2"/>
        <v>#VALUE!</v>
      </c>
      <c r="K12" s="21" t="e">
        <f t="shared" si="3"/>
        <v>#VALUE!</v>
      </c>
      <c r="L12" s="21" t="e">
        <f t="shared" si="4"/>
        <v>#VALUE!</v>
      </c>
    </row>
    <row r="13" spans="1:12" ht="16" x14ac:dyDescent="0.2">
      <c r="A13" s="6">
        <f>INDEX(Emp!$A$6:$A$35,ROW()-6)</f>
        <v>0</v>
      </c>
      <c r="B13" s="16">
        <f>INDEX(Emp!$B$6:$B$35,ROW()-6)</f>
        <v>0</v>
      </c>
      <c r="C13" s="6" t="str">
        <f>IF(INDEX(Emp!$C$6:$C$35,ROW()-6)="",Assumptions!$B$15,INDEX(Emp!$C$6:$C$35,ROW()-6))</f>
        <v>Biweekly</v>
      </c>
      <c r="D13" s="12">
        <f>IF(C13="","",VLOOKUP(C13,Assumptions!$D$15:$E$18,2,FALSE))</f>
        <v>26</v>
      </c>
      <c r="E13" s="16" t="str">
        <f>INDEX(Emp!$D$6:$D$35,ROW()-6)</f>
        <v/>
      </c>
      <c r="F13" s="21" t="e">
        <f t="shared" si="0"/>
        <v>#VALUE!</v>
      </c>
      <c r="G13" s="7">
        <f>IF(B13="","",Assumptions!$B$7)</f>
        <v>0.5</v>
      </c>
      <c r="H13" s="7">
        <f>IF(B13="","",Assumptions!$B$9)</f>
        <v>0</v>
      </c>
      <c r="I13" s="21" t="e">
        <f t="shared" si="1"/>
        <v>#VALUE!</v>
      </c>
      <c r="J13" s="21" t="e">
        <f t="shared" si="2"/>
        <v>#VALUE!</v>
      </c>
      <c r="K13" s="21" t="e">
        <f t="shared" si="3"/>
        <v>#VALUE!</v>
      </c>
      <c r="L13" s="21" t="e">
        <f t="shared" si="4"/>
        <v>#VALUE!</v>
      </c>
    </row>
    <row r="14" spans="1:12" ht="16" x14ac:dyDescent="0.2">
      <c r="A14" s="6">
        <f>INDEX(Emp!$A$6:$A$35,ROW()-6)</f>
        <v>0</v>
      </c>
      <c r="B14" s="16">
        <f>INDEX(Emp!$B$6:$B$35,ROW()-6)</f>
        <v>0</v>
      </c>
      <c r="C14" s="6" t="str">
        <f>IF(INDEX(Emp!$C$6:$C$35,ROW()-6)="",Assumptions!$B$15,INDEX(Emp!$C$6:$C$35,ROW()-6))</f>
        <v>Biweekly</v>
      </c>
      <c r="D14" s="12">
        <f>IF(C14="","",VLOOKUP(C14,Assumptions!$D$15:$E$18,2,FALSE))</f>
        <v>26</v>
      </c>
      <c r="E14" s="16" t="str">
        <f>INDEX(Emp!$D$6:$D$35,ROW()-6)</f>
        <v/>
      </c>
      <c r="F14" s="21" t="e">
        <f t="shared" si="0"/>
        <v>#VALUE!</v>
      </c>
      <c r="G14" s="7">
        <f>IF(B14="","",Assumptions!$B$7)</f>
        <v>0.5</v>
      </c>
      <c r="H14" s="7">
        <f>IF(B14="","",Assumptions!$B$9)</f>
        <v>0</v>
      </c>
      <c r="I14" s="21" t="e">
        <f t="shared" si="1"/>
        <v>#VALUE!</v>
      </c>
      <c r="J14" s="21" t="e">
        <f t="shared" si="2"/>
        <v>#VALUE!</v>
      </c>
      <c r="K14" s="21" t="e">
        <f t="shared" si="3"/>
        <v>#VALUE!</v>
      </c>
      <c r="L14" s="21" t="e">
        <f t="shared" si="4"/>
        <v>#VALUE!</v>
      </c>
    </row>
    <row r="15" spans="1:12" ht="16" x14ac:dyDescent="0.2">
      <c r="A15" s="6">
        <f>INDEX(Emp!$A$6:$A$35,ROW()-6)</f>
        <v>0</v>
      </c>
      <c r="B15" s="16">
        <f>INDEX(Emp!$B$6:$B$35,ROW()-6)</f>
        <v>0</v>
      </c>
      <c r="C15" s="6" t="str">
        <f>IF(INDEX(Emp!$C$6:$C$35,ROW()-6)="",Assumptions!$B$15,INDEX(Emp!$C$6:$C$35,ROW()-6))</f>
        <v>Biweekly</v>
      </c>
      <c r="D15" s="12">
        <f>IF(C15="","",VLOOKUP(C15,Assumptions!$D$15:$E$18,2,FALSE))</f>
        <v>26</v>
      </c>
      <c r="E15" s="16" t="str">
        <f>INDEX(Emp!$D$6:$D$35,ROW()-6)</f>
        <v/>
      </c>
      <c r="F15" s="21" t="e">
        <f t="shared" si="0"/>
        <v>#VALUE!</v>
      </c>
      <c r="G15" s="7">
        <f>IF(B15="","",Assumptions!$B$7)</f>
        <v>0.5</v>
      </c>
      <c r="H15" s="7">
        <f>IF(B15="","",Assumptions!$B$9)</f>
        <v>0</v>
      </c>
      <c r="I15" s="21" t="e">
        <f t="shared" si="1"/>
        <v>#VALUE!</v>
      </c>
      <c r="J15" s="21" t="e">
        <f t="shared" si="2"/>
        <v>#VALUE!</v>
      </c>
      <c r="K15" s="21" t="e">
        <f t="shared" si="3"/>
        <v>#VALUE!</v>
      </c>
      <c r="L15" s="21" t="e">
        <f t="shared" si="4"/>
        <v>#VALUE!</v>
      </c>
    </row>
    <row r="16" spans="1:12" ht="16" x14ac:dyDescent="0.2">
      <c r="A16" s="6">
        <f>INDEX(Emp!$A$6:$A$35,ROW()-6)</f>
        <v>0</v>
      </c>
      <c r="B16" s="16">
        <f>INDEX(Emp!$B$6:$B$35,ROW()-6)</f>
        <v>0</v>
      </c>
      <c r="C16" s="6" t="str">
        <f>IF(INDEX(Emp!$C$6:$C$35,ROW()-6)="",Assumptions!$B$15,INDEX(Emp!$C$6:$C$35,ROW()-6))</f>
        <v>Biweekly</v>
      </c>
      <c r="D16" s="12">
        <f>IF(C16="","",VLOOKUP(C16,Assumptions!$D$15:$E$18,2,FALSE))</f>
        <v>26</v>
      </c>
      <c r="E16" s="16" t="str">
        <f>INDEX(Emp!$D$6:$D$35,ROW()-6)</f>
        <v/>
      </c>
      <c r="F16" s="21" t="e">
        <f t="shared" si="0"/>
        <v>#VALUE!</v>
      </c>
      <c r="G16" s="7">
        <f>IF(B16="","",Assumptions!$B$7)</f>
        <v>0.5</v>
      </c>
      <c r="H16" s="7">
        <f>IF(B16="","",Assumptions!$B$9)</f>
        <v>0</v>
      </c>
      <c r="I16" s="21" t="e">
        <f t="shared" si="1"/>
        <v>#VALUE!</v>
      </c>
      <c r="J16" s="21" t="e">
        <f t="shared" si="2"/>
        <v>#VALUE!</v>
      </c>
      <c r="K16" s="21" t="e">
        <f t="shared" si="3"/>
        <v>#VALUE!</v>
      </c>
      <c r="L16" s="21" t="e">
        <f t="shared" si="4"/>
        <v>#VALUE!</v>
      </c>
    </row>
    <row r="17" spans="1:12" ht="16" x14ac:dyDescent="0.2">
      <c r="A17" s="6">
        <f>INDEX(Emp!$A$6:$A$35,ROW()-6)</f>
        <v>0</v>
      </c>
      <c r="B17" s="16">
        <f>INDEX(Emp!$B$6:$B$35,ROW()-6)</f>
        <v>0</v>
      </c>
      <c r="C17" s="6" t="str">
        <f>IF(INDEX(Emp!$C$6:$C$35,ROW()-6)="",Assumptions!$B$15,INDEX(Emp!$C$6:$C$35,ROW()-6))</f>
        <v>Biweekly</v>
      </c>
      <c r="D17" s="12">
        <f>IF(C17="","",VLOOKUP(C17,Assumptions!$D$15:$E$18,2,FALSE))</f>
        <v>26</v>
      </c>
      <c r="E17" s="16" t="str">
        <f>INDEX(Emp!$D$6:$D$35,ROW()-6)</f>
        <v/>
      </c>
      <c r="F17" s="21" t="e">
        <f t="shared" si="0"/>
        <v>#VALUE!</v>
      </c>
      <c r="G17" s="7">
        <f>IF(B17="","",Assumptions!$B$7)</f>
        <v>0.5</v>
      </c>
      <c r="H17" s="7">
        <f>IF(B17="","",Assumptions!$B$9)</f>
        <v>0</v>
      </c>
      <c r="I17" s="21" t="e">
        <f t="shared" si="1"/>
        <v>#VALUE!</v>
      </c>
      <c r="J17" s="21" t="e">
        <f t="shared" si="2"/>
        <v>#VALUE!</v>
      </c>
      <c r="K17" s="21" t="e">
        <f t="shared" si="3"/>
        <v>#VALUE!</v>
      </c>
      <c r="L17" s="21" t="e">
        <f t="shared" si="4"/>
        <v>#VALUE!</v>
      </c>
    </row>
    <row r="18" spans="1:12" ht="16" x14ac:dyDescent="0.2">
      <c r="A18" s="6">
        <f>INDEX(Emp!$A$6:$A$35,ROW()-6)</f>
        <v>0</v>
      </c>
      <c r="B18" s="16">
        <f>INDEX(Emp!$B$6:$B$35,ROW()-6)</f>
        <v>0</v>
      </c>
      <c r="C18" s="6" t="str">
        <f>IF(INDEX(Emp!$C$6:$C$35,ROW()-6)="",Assumptions!$B$15,INDEX(Emp!$C$6:$C$35,ROW()-6))</f>
        <v>Biweekly</v>
      </c>
      <c r="D18" s="12">
        <f>IF(C18="","",VLOOKUP(C18,Assumptions!$D$15:$E$18,2,FALSE))</f>
        <v>26</v>
      </c>
      <c r="E18" s="16" t="str">
        <f>INDEX(Emp!$D$6:$D$35,ROW()-6)</f>
        <v/>
      </c>
      <c r="F18" s="21" t="e">
        <f t="shared" si="0"/>
        <v>#VALUE!</v>
      </c>
      <c r="G18" s="7">
        <f>IF(B18="","",Assumptions!$B$7)</f>
        <v>0.5</v>
      </c>
      <c r="H18" s="7">
        <f>IF(B18="","",Assumptions!$B$9)</f>
        <v>0</v>
      </c>
      <c r="I18" s="21" t="e">
        <f t="shared" si="1"/>
        <v>#VALUE!</v>
      </c>
      <c r="J18" s="21" t="e">
        <f t="shared" si="2"/>
        <v>#VALUE!</v>
      </c>
      <c r="K18" s="21" t="e">
        <f t="shared" si="3"/>
        <v>#VALUE!</v>
      </c>
      <c r="L18" s="21" t="e">
        <f t="shared" si="4"/>
        <v>#VALUE!</v>
      </c>
    </row>
    <row r="19" spans="1:12" ht="16" x14ac:dyDescent="0.2">
      <c r="A19" s="6">
        <f>INDEX(Emp!$A$6:$A$35,ROW()-6)</f>
        <v>0</v>
      </c>
      <c r="B19" s="16">
        <f>INDEX(Emp!$B$6:$B$35,ROW()-6)</f>
        <v>0</v>
      </c>
      <c r="C19" s="6" t="str">
        <f>IF(INDEX(Emp!$C$6:$C$35,ROW()-6)="",Assumptions!$B$15,INDEX(Emp!$C$6:$C$35,ROW()-6))</f>
        <v>Biweekly</v>
      </c>
      <c r="D19" s="12">
        <f>IF(C19="","",VLOOKUP(C19,Assumptions!$D$15:$E$18,2,FALSE))</f>
        <v>26</v>
      </c>
      <c r="E19" s="16" t="str">
        <f>INDEX(Emp!$D$6:$D$35,ROW()-6)</f>
        <v/>
      </c>
      <c r="F19" s="21" t="e">
        <f t="shared" si="0"/>
        <v>#VALUE!</v>
      </c>
      <c r="G19" s="7">
        <f>IF(B19="","",Assumptions!$B$7)</f>
        <v>0.5</v>
      </c>
      <c r="H19" s="7">
        <f>IF(B19="","",Assumptions!$B$9)</f>
        <v>0</v>
      </c>
      <c r="I19" s="21" t="e">
        <f t="shared" si="1"/>
        <v>#VALUE!</v>
      </c>
      <c r="J19" s="21" t="e">
        <f t="shared" si="2"/>
        <v>#VALUE!</v>
      </c>
      <c r="K19" s="21" t="e">
        <f t="shared" si="3"/>
        <v>#VALUE!</v>
      </c>
      <c r="L19" s="21" t="e">
        <f t="shared" si="4"/>
        <v>#VALUE!</v>
      </c>
    </row>
    <row r="20" spans="1:12" ht="16" x14ac:dyDescent="0.2">
      <c r="A20" s="6">
        <f>INDEX(Emp!$A$6:$A$35,ROW()-6)</f>
        <v>0</v>
      </c>
      <c r="B20" s="16">
        <f>INDEX(Emp!$B$6:$B$35,ROW()-6)</f>
        <v>0</v>
      </c>
      <c r="C20" s="6" t="str">
        <f>IF(INDEX(Emp!$C$6:$C$35,ROW()-6)="",Assumptions!$B$15,INDEX(Emp!$C$6:$C$35,ROW()-6))</f>
        <v>Biweekly</v>
      </c>
      <c r="D20" s="12">
        <f>IF(C20="","",VLOOKUP(C20,Assumptions!$D$15:$E$18,2,FALSE))</f>
        <v>26</v>
      </c>
      <c r="E20" s="16" t="str">
        <f>INDEX(Emp!$D$6:$D$35,ROW()-6)</f>
        <v/>
      </c>
      <c r="F20" s="21" t="e">
        <f t="shared" si="0"/>
        <v>#VALUE!</v>
      </c>
      <c r="G20" s="7">
        <f>IF(B20="","",Assumptions!$B$7)</f>
        <v>0.5</v>
      </c>
      <c r="H20" s="7">
        <f>IF(B20="","",Assumptions!$B$9)</f>
        <v>0</v>
      </c>
      <c r="I20" s="21" t="e">
        <f t="shared" si="1"/>
        <v>#VALUE!</v>
      </c>
      <c r="J20" s="21" t="e">
        <f t="shared" si="2"/>
        <v>#VALUE!</v>
      </c>
      <c r="K20" s="21" t="e">
        <f t="shared" si="3"/>
        <v>#VALUE!</v>
      </c>
      <c r="L20" s="21" t="e">
        <f t="shared" si="4"/>
        <v>#VALUE!</v>
      </c>
    </row>
    <row r="21" spans="1:12" ht="16" x14ac:dyDescent="0.2">
      <c r="A21" s="6">
        <f>INDEX(Emp!$A$6:$A$35,ROW()-6)</f>
        <v>0</v>
      </c>
      <c r="B21" s="16">
        <f>INDEX(Emp!$B$6:$B$35,ROW()-6)</f>
        <v>0</v>
      </c>
      <c r="C21" s="6" t="str">
        <f>IF(INDEX(Emp!$C$6:$C$35,ROW()-6)="",Assumptions!$B$15,INDEX(Emp!$C$6:$C$35,ROW()-6))</f>
        <v>Biweekly</v>
      </c>
      <c r="D21" s="12">
        <f>IF(C21="","",VLOOKUP(C21,Assumptions!$D$15:$E$18,2,FALSE))</f>
        <v>26</v>
      </c>
      <c r="E21" s="16" t="str">
        <f>INDEX(Emp!$D$6:$D$35,ROW()-6)</f>
        <v/>
      </c>
      <c r="F21" s="21" t="e">
        <f t="shared" si="0"/>
        <v>#VALUE!</v>
      </c>
      <c r="G21" s="7">
        <f>IF(B21="","",Assumptions!$B$7)</f>
        <v>0.5</v>
      </c>
      <c r="H21" s="7">
        <f>IF(B21="","",Assumptions!$B$9)</f>
        <v>0</v>
      </c>
      <c r="I21" s="21" t="e">
        <f t="shared" si="1"/>
        <v>#VALUE!</v>
      </c>
      <c r="J21" s="21" t="e">
        <f t="shared" si="2"/>
        <v>#VALUE!</v>
      </c>
      <c r="K21" s="21" t="e">
        <f t="shared" si="3"/>
        <v>#VALUE!</v>
      </c>
      <c r="L21" s="21" t="e">
        <f t="shared" si="4"/>
        <v>#VALUE!</v>
      </c>
    </row>
    <row r="22" spans="1:12" ht="16" x14ac:dyDescent="0.2">
      <c r="A22" s="6">
        <f>INDEX(Emp!$A$6:$A$35,ROW()-6)</f>
        <v>0</v>
      </c>
      <c r="B22" s="16">
        <f>INDEX(Emp!$B$6:$B$35,ROW()-6)</f>
        <v>0</v>
      </c>
      <c r="C22" s="6" t="str">
        <f>IF(INDEX(Emp!$C$6:$C$35,ROW()-6)="",Assumptions!$B$15,INDEX(Emp!$C$6:$C$35,ROW()-6))</f>
        <v>Biweekly</v>
      </c>
      <c r="D22" s="12">
        <f>IF(C22="","",VLOOKUP(C22,Assumptions!$D$15:$E$18,2,FALSE))</f>
        <v>26</v>
      </c>
      <c r="E22" s="16" t="str">
        <f>INDEX(Emp!$D$6:$D$35,ROW()-6)</f>
        <v/>
      </c>
      <c r="F22" s="21" t="e">
        <f t="shared" si="0"/>
        <v>#VALUE!</v>
      </c>
      <c r="G22" s="7">
        <f>IF(B22="","",Assumptions!$B$7)</f>
        <v>0.5</v>
      </c>
      <c r="H22" s="7">
        <f>IF(B22="","",Assumptions!$B$9)</f>
        <v>0</v>
      </c>
      <c r="I22" s="21" t="e">
        <f t="shared" si="1"/>
        <v>#VALUE!</v>
      </c>
      <c r="J22" s="21" t="e">
        <f t="shared" si="2"/>
        <v>#VALUE!</v>
      </c>
      <c r="K22" s="21" t="e">
        <f t="shared" si="3"/>
        <v>#VALUE!</v>
      </c>
      <c r="L22" s="21" t="e">
        <f t="shared" si="4"/>
        <v>#VALUE!</v>
      </c>
    </row>
    <row r="23" spans="1:12" ht="16" x14ac:dyDescent="0.2">
      <c r="A23" s="6">
        <f>INDEX(Emp!$A$6:$A$35,ROW()-6)</f>
        <v>0</v>
      </c>
      <c r="B23" s="16">
        <f>INDEX(Emp!$B$6:$B$35,ROW()-6)</f>
        <v>0</v>
      </c>
      <c r="C23" s="6" t="str">
        <f>IF(INDEX(Emp!$C$6:$C$35,ROW()-6)="",Assumptions!$B$15,INDEX(Emp!$C$6:$C$35,ROW()-6))</f>
        <v>Biweekly</v>
      </c>
      <c r="D23" s="12">
        <f>IF(C23="","",VLOOKUP(C23,Assumptions!$D$15:$E$18,2,FALSE))</f>
        <v>26</v>
      </c>
      <c r="E23" s="16" t="str">
        <f>INDEX(Emp!$D$6:$D$35,ROW()-6)</f>
        <v/>
      </c>
      <c r="F23" s="21" t="e">
        <f t="shared" si="0"/>
        <v>#VALUE!</v>
      </c>
      <c r="G23" s="7">
        <f>IF(B23="","",Assumptions!$B$7)</f>
        <v>0.5</v>
      </c>
      <c r="H23" s="7">
        <f>IF(B23="","",Assumptions!$B$9)</f>
        <v>0</v>
      </c>
      <c r="I23" s="21" t="e">
        <f t="shared" si="1"/>
        <v>#VALUE!</v>
      </c>
      <c r="J23" s="21" t="e">
        <f t="shared" si="2"/>
        <v>#VALUE!</v>
      </c>
      <c r="K23" s="21" t="e">
        <f t="shared" si="3"/>
        <v>#VALUE!</v>
      </c>
      <c r="L23" s="21" t="e">
        <f t="shared" si="4"/>
        <v>#VALUE!</v>
      </c>
    </row>
    <row r="24" spans="1:12" ht="16" x14ac:dyDescent="0.2">
      <c r="A24" s="6">
        <f>INDEX(Emp!$A$6:$A$35,ROW()-6)</f>
        <v>0</v>
      </c>
      <c r="B24" s="16">
        <f>INDEX(Emp!$B$6:$B$35,ROW()-6)</f>
        <v>0</v>
      </c>
      <c r="C24" s="6" t="str">
        <f>IF(INDEX(Emp!$C$6:$C$35,ROW()-6)="",Assumptions!$B$15,INDEX(Emp!$C$6:$C$35,ROW()-6))</f>
        <v>Biweekly</v>
      </c>
      <c r="D24" s="12">
        <f>IF(C24="","",VLOOKUP(C24,Assumptions!$D$15:$E$18,2,FALSE))</f>
        <v>26</v>
      </c>
      <c r="E24" s="16" t="str">
        <f>INDEX(Emp!$D$6:$D$35,ROW()-6)</f>
        <v/>
      </c>
      <c r="F24" s="21" t="e">
        <f t="shared" si="0"/>
        <v>#VALUE!</v>
      </c>
      <c r="G24" s="7">
        <f>IF(B24="","",Assumptions!$B$7)</f>
        <v>0.5</v>
      </c>
      <c r="H24" s="7">
        <f>IF(B24="","",Assumptions!$B$9)</f>
        <v>0</v>
      </c>
      <c r="I24" s="21" t="e">
        <f t="shared" si="1"/>
        <v>#VALUE!</v>
      </c>
      <c r="J24" s="21" t="e">
        <f t="shared" si="2"/>
        <v>#VALUE!</v>
      </c>
      <c r="K24" s="21" t="e">
        <f t="shared" si="3"/>
        <v>#VALUE!</v>
      </c>
      <c r="L24" s="21" t="e">
        <f t="shared" si="4"/>
        <v>#VALUE!</v>
      </c>
    </row>
    <row r="25" spans="1:12" ht="16" x14ac:dyDescent="0.2">
      <c r="A25" s="6">
        <f>INDEX(Emp!$A$6:$A$35,ROW()-6)</f>
        <v>0</v>
      </c>
      <c r="B25" s="16">
        <f>INDEX(Emp!$B$6:$B$35,ROW()-6)</f>
        <v>0</v>
      </c>
      <c r="C25" s="6" t="str">
        <f>IF(INDEX(Emp!$C$6:$C$35,ROW()-6)="",Assumptions!$B$15,INDEX(Emp!$C$6:$C$35,ROW()-6))</f>
        <v>Biweekly</v>
      </c>
      <c r="D25" s="12">
        <f>IF(C25="","",VLOOKUP(C25,Assumptions!$D$15:$E$18,2,FALSE))</f>
        <v>26</v>
      </c>
      <c r="E25" s="16" t="str">
        <f>INDEX(Emp!$D$6:$D$35,ROW()-6)</f>
        <v/>
      </c>
      <c r="F25" s="21" t="e">
        <f t="shared" si="0"/>
        <v>#VALUE!</v>
      </c>
      <c r="G25" s="7">
        <f>IF(B25="","",Assumptions!$B$7)</f>
        <v>0.5</v>
      </c>
      <c r="H25" s="7">
        <f>IF(B25="","",Assumptions!$B$9)</f>
        <v>0</v>
      </c>
      <c r="I25" s="21" t="e">
        <f t="shared" si="1"/>
        <v>#VALUE!</v>
      </c>
      <c r="J25" s="21" t="e">
        <f t="shared" si="2"/>
        <v>#VALUE!</v>
      </c>
      <c r="K25" s="21" t="e">
        <f t="shared" si="3"/>
        <v>#VALUE!</v>
      </c>
      <c r="L25" s="21" t="e">
        <f t="shared" si="4"/>
        <v>#VALUE!</v>
      </c>
    </row>
    <row r="26" spans="1:12" ht="16" x14ac:dyDescent="0.2">
      <c r="A26" s="6">
        <f>INDEX(Emp!$A$6:$A$35,ROW()-6)</f>
        <v>0</v>
      </c>
      <c r="B26" s="16">
        <f>INDEX(Emp!$B$6:$B$35,ROW()-6)</f>
        <v>0</v>
      </c>
      <c r="C26" s="6" t="str">
        <f>IF(INDEX(Emp!$C$6:$C$35,ROW()-6)="",Assumptions!$B$15,INDEX(Emp!$C$6:$C$35,ROW()-6))</f>
        <v>Biweekly</v>
      </c>
      <c r="D26" s="12">
        <f>IF(C26="","",VLOOKUP(C26,Assumptions!$D$15:$E$18,2,FALSE))</f>
        <v>26</v>
      </c>
      <c r="E26" s="16" t="str">
        <f>INDEX(Emp!$D$6:$D$35,ROW()-6)</f>
        <v/>
      </c>
      <c r="F26" s="21" t="e">
        <f t="shared" si="0"/>
        <v>#VALUE!</v>
      </c>
      <c r="G26" s="7">
        <f>IF(B26="","",Assumptions!$B$7)</f>
        <v>0.5</v>
      </c>
      <c r="H26" s="7">
        <f>IF(B26="","",Assumptions!$B$9)</f>
        <v>0</v>
      </c>
      <c r="I26" s="21" t="e">
        <f t="shared" si="1"/>
        <v>#VALUE!</v>
      </c>
      <c r="J26" s="21" t="e">
        <f t="shared" si="2"/>
        <v>#VALUE!</v>
      </c>
      <c r="K26" s="21" t="e">
        <f t="shared" si="3"/>
        <v>#VALUE!</v>
      </c>
      <c r="L26" s="21" t="e">
        <f t="shared" si="4"/>
        <v>#VALUE!</v>
      </c>
    </row>
    <row r="27" spans="1:12" ht="16" x14ac:dyDescent="0.2">
      <c r="A27" s="6">
        <f>INDEX(Emp!$A$6:$A$35,ROW()-6)</f>
        <v>0</v>
      </c>
      <c r="B27" s="16">
        <f>INDEX(Emp!$B$6:$B$35,ROW()-6)</f>
        <v>0</v>
      </c>
      <c r="C27" s="6" t="str">
        <f>IF(INDEX(Emp!$C$6:$C$35,ROW()-6)="",Assumptions!$B$15,INDEX(Emp!$C$6:$C$35,ROW()-6))</f>
        <v>Biweekly</v>
      </c>
      <c r="D27" s="12">
        <f>IF(C27="","",VLOOKUP(C27,Assumptions!$D$15:$E$18,2,FALSE))</f>
        <v>26</v>
      </c>
      <c r="E27" s="16" t="str">
        <f>INDEX(Emp!$D$6:$D$35,ROW()-6)</f>
        <v/>
      </c>
      <c r="F27" s="21" t="e">
        <f t="shared" si="0"/>
        <v>#VALUE!</v>
      </c>
      <c r="G27" s="7">
        <f>IF(B27="","",Assumptions!$B$7)</f>
        <v>0.5</v>
      </c>
      <c r="H27" s="7">
        <f>IF(B27="","",Assumptions!$B$9)</f>
        <v>0</v>
      </c>
      <c r="I27" s="21" t="e">
        <f t="shared" si="1"/>
        <v>#VALUE!</v>
      </c>
      <c r="J27" s="21" t="e">
        <f t="shared" si="2"/>
        <v>#VALUE!</v>
      </c>
      <c r="K27" s="21" t="e">
        <f t="shared" si="3"/>
        <v>#VALUE!</v>
      </c>
      <c r="L27" s="21" t="e">
        <f t="shared" si="4"/>
        <v>#VALUE!</v>
      </c>
    </row>
    <row r="28" spans="1:12" ht="16" x14ac:dyDescent="0.2">
      <c r="A28" s="6">
        <f>INDEX(Emp!$A$6:$A$35,ROW()-6)</f>
        <v>0</v>
      </c>
      <c r="B28" s="16">
        <f>INDEX(Emp!$B$6:$B$35,ROW()-6)</f>
        <v>0</v>
      </c>
      <c r="C28" s="6" t="str">
        <f>IF(INDEX(Emp!$C$6:$C$35,ROW()-6)="",Assumptions!$B$15,INDEX(Emp!$C$6:$C$35,ROW()-6))</f>
        <v>Biweekly</v>
      </c>
      <c r="D28" s="12">
        <f>IF(C28="","",VLOOKUP(C28,Assumptions!$D$15:$E$18,2,FALSE))</f>
        <v>26</v>
      </c>
      <c r="E28" s="16" t="str">
        <f>INDEX(Emp!$D$6:$D$35,ROW()-6)</f>
        <v/>
      </c>
      <c r="F28" s="21" t="e">
        <f t="shared" si="0"/>
        <v>#VALUE!</v>
      </c>
      <c r="G28" s="7">
        <f>IF(B28="","",Assumptions!$B$7)</f>
        <v>0.5</v>
      </c>
      <c r="H28" s="7">
        <f>IF(B28="","",Assumptions!$B$9)</f>
        <v>0</v>
      </c>
      <c r="I28" s="21" t="e">
        <f t="shared" si="1"/>
        <v>#VALUE!</v>
      </c>
      <c r="J28" s="21" t="e">
        <f t="shared" si="2"/>
        <v>#VALUE!</v>
      </c>
      <c r="K28" s="21" t="e">
        <f t="shared" si="3"/>
        <v>#VALUE!</v>
      </c>
      <c r="L28" s="21" t="e">
        <f t="shared" si="4"/>
        <v>#VALUE!</v>
      </c>
    </row>
    <row r="29" spans="1:12" ht="16" x14ac:dyDescent="0.2">
      <c r="A29" s="6">
        <f>INDEX(Emp!$A$6:$A$35,ROW()-6)</f>
        <v>0</v>
      </c>
      <c r="B29" s="16">
        <f>INDEX(Emp!$B$6:$B$35,ROW()-6)</f>
        <v>0</v>
      </c>
      <c r="C29" s="6" t="str">
        <f>IF(INDEX(Emp!$C$6:$C$35,ROW()-6)="",Assumptions!$B$15,INDEX(Emp!$C$6:$C$35,ROW()-6))</f>
        <v>Biweekly</v>
      </c>
      <c r="D29" s="12">
        <f>IF(C29="","",VLOOKUP(C29,Assumptions!$D$15:$E$18,2,FALSE))</f>
        <v>26</v>
      </c>
      <c r="E29" s="16" t="str">
        <f>INDEX(Emp!$D$6:$D$35,ROW()-6)</f>
        <v/>
      </c>
      <c r="F29" s="21" t="e">
        <f t="shared" si="0"/>
        <v>#VALUE!</v>
      </c>
      <c r="G29" s="7">
        <f>IF(B29="","",Assumptions!$B$7)</f>
        <v>0.5</v>
      </c>
      <c r="H29" s="7">
        <f>IF(B29="","",Assumptions!$B$9)</f>
        <v>0</v>
      </c>
      <c r="I29" s="21" t="e">
        <f t="shared" si="1"/>
        <v>#VALUE!</v>
      </c>
      <c r="J29" s="21" t="e">
        <f t="shared" si="2"/>
        <v>#VALUE!</v>
      </c>
      <c r="K29" s="21" t="e">
        <f t="shared" si="3"/>
        <v>#VALUE!</v>
      </c>
      <c r="L29" s="21" t="e">
        <f t="shared" si="4"/>
        <v>#VALUE!</v>
      </c>
    </row>
    <row r="30" spans="1:12" ht="16" x14ac:dyDescent="0.2">
      <c r="A30" s="6">
        <f>INDEX(Emp!$A$6:$A$35,ROW()-6)</f>
        <v>0</v>
      </c>
      <c r="B30" s="16">
        <f>INDEX(Emp!$B$6:$B$35,ROW()-6)</f>
        <v>0</v>
      </c>
      <c r="C30" s="6" t="str">
        <f>IF(INDEX(Emp!$C$6:$C$35,ROW()-6)="",Assumptions!$B$15,INDEX(Emp!$C$6:$C$35,ROW()-6))</f>
        <v>Biweekly</v>
      </c>
      <c r="D30" s="12">
        <f>IF(C30="","",VLOOKUP(C30,Assumptions!$D$15:$E$18,2,FALSE))</f>
        <v>26</v>
      </c>
      <c r="E30" s="16" t="str">
        <f>INDEX(Emp!$D$6:$D$35,ROW()-6)</f>
        <v/>
      </c>
      <c r="F30" s="21" t="e">
        <f t="shared" si="0"/>
        <v>#VALUE!</v>
      </c>
      <c r="G30" s="7">
        <f>IF(B30="","",Assumptions!$B$7)</f>
        <v>0.5</v>
      </c>
      <c r="H30" s="7">
        <f>IF(B30="","",Assumptions!$B$9)</f>
        <v>0</v>
      </c>
      <c r="I30" s="21" t="e">
        <f t="shared" si="1"/>
        <v>#VALUE!</v>
      </c>
      <c r="J30" s="21" t="e">
        <f t="shared" si="2"/>
        <v>#VALUE!</v>
      </c>
      <c r="K30" s="21" t="e">
        <f t="shared" si="3"/>
        <v>#VALUE!</v>
      </c>
      <c r="L30" s="21" t="e">
        <f t="shared" si="4"/>
        <v>#VALUE!</v>
      </c>
    </row>
    <row r="31" spans="1:12" ht="16" x14ac:dyDescent="0.2">
      <c r="A31" s="6">
        <f>INDEX(Emp!$A$6:$A$35,ROW()-6)</f>
        <v>0</v>
      </c>
      <c r="B31" s="16">
        <f>INDEX(Emp!$B$6:$B$35,ROW()-6)</f>
        <v>0</v>
      </c>
      <c r="C31" s="6" t="str">
        <f>IF(INDEX(Emp!$C$6:$C$35,ROW()-6)="",Assumptions!$B$15,INDEX(Emp!$C$6:$C$35,ROW()-6))</f>
        <v>Biweekly</v>
      </c>
      <c r="D31" s="12">
        <f>IF(C31="","",VLOOKUP(C31,Assumptions!$D$15:$E$18,2,FALSE))</f>
        <v>26</v>
      </c>
      <c r="E31" s="16" t="str">
        <f>INDEX(Emp!$D$6:$D$35,ROW()-6)</f>
        <v/>
      </c>
      <c r="F31" s="21" t="e">
        <f t="shared" si="0"/>
        <v>#VALUE!</v>
      </c>
      <c r="G31" s="7">
        <f>IF(B31="","",Assumptions!$B$7)</f>
        <v>0.5</v>
      </c>
      <c r="H31" s="7">
        <f>IF(B31="","",Assumptions!$B$9)</f>
        <v>0</v>
      </c>
      <c r="I31" s="21" t="e">
        <f t="shared" si="1"/>
        <v>#VALUE!</v>
      </c>
      <c r="J31" s="21" t="e">
        <f t="shared" si="2"/>
        <v>#VALUE!</v>
      </c>
      <c r="K31" s="21" t="e">
        <f t="shared" si="3"/>
        <v>#VALUE!</v>
      </c>
      <c r="L31" s="21" t="e">
        <f t="shared" si="4"/>
        <v>#VALUE!</v>
      </c>
    </row>
    <row r="32" spans="1:12" ht="16" x14ac:dyDescent="0.2">
      <c r="A32" s="6">
        <f>INDEX(Emp!$A$6:$A$35,ROW()-6)</f>
        <v>0</v>
      </c>
      <c r="B32" s="16">
        <f>INDEX(Emp!$B$6:$B$35,ROW()-6)</f>
        <v>0</v>
      </c>
      <c r="C32" s="6" t="str">
        <f>IF(INDEX(Emp!$C$6:$C$35,ROW()-6)="",Assumptions!$B$15,INDEX(Emp!$C$6:$C$35,ROW()-6))</f>
        <v>Biweekly</v>
      </c>
      <c r="D32" s="12">
        <f>IF(C32="","",VLOOKUP(C32,Assumptions!$D$15:$E$18,2,FALSE))</f>
        <v>26</v>
      </c>
      <c r="E32" s="16" t="str">
        <f>INDEX(Emp!$D$6:$D$35,ROW()-6)</f>
        <v/>
      </c>
      <c r="F32" s="21" t="e">
        <f t="shared" si="0"/>
        <v>#VALUE!</v>
      </c>
      <c r="G32" s="7">
        <f>IF(B32="","",Assumptions!$B$7)</f>
        <v>0.5</v>
      </c>
      <c r="H32" s="7">
        <f>IF(B32="","",Assumptions!$B$9)</f>
        <v>0</v>
      </c>
      <c r="I32" s="21" t="e">
        <f t="shared" si="1"/>
        <v>#VALUE!</v>
      </c>
      <c r="J32" s="21" t="e">
        <f t="shared" si="2"/>
        <v>#VALUE!</v>
      </c>
      <c r="K32" s="21" t="e">
        <f t="shared" si="3"/>
        <v>#VALUE!</v>
      </c>
      <c r="L32" s="21" t="e">
        <f t="shared" si="4"/>
        <v>#VALUE!</v>
      </c>
    </row>
    <row r="33" spans="1:12" ht="16" x14ac:dyDescent="0.2">
      <c r="A33" s="6">
        <f>INDEX(Emp!$A$6:$A$35,ROW()-6)</f>
        <v>0</v>
      </c>
      <c r="B33" s="16">
        <f>INDEX(Emp!$B$6:$B$35,ROW()-6)</f>
        <v>0</v>
      </c>
      <c r="C33" s="6" t="str">
        <f>IF(INDEX(Emp!$C$6:$C$35,ROW()-6)="",Assumptions!$B$15,INDEX(Emp!$C$6:$C$35,ROW()-6))</f>
        <v>Biweekly</v>
      </c>
      <c r="D33" s="12">
        <f>IF(C33="","",VLOOKUP(C33,Assumptions!$D$15:$E$18,2,FALSE))</f>
        <v>26</v>
      </c>
      <c r="E33" s="16" t="str">
        <f>INDEX(Emp!$D$6:$D$35,ROW()-6)</f>
        <v/>
      </c>
      <c r="F33" s="21" t="e">
        <f t="shared" si="0"/>
        <v>#VALUE!</v>
      </c>
      <c r="G33" s="7">
        <f>IF(B33="","",Assumptions!$B$7)</f>
        <v>0.5</v>
      </c>
      <c r="H33" s="7">
        <f>IF(B33="","",Assumptions!$B$9)</f>
        <v>0</v>
      </c>
      <c r="I33" s="21" t="e">
        <f t="shared" si="1"/>
        <v>#VALUE!</v>
      </c>
      <c r="J33" s="21" t="e">
        <f t="shared" si="2"/>
        <v>#VALUE!</v>
      </c>
      <c r="K33" s="21" t="e">
        <f t="shared" si="3"/>
        <v>#VALUE!</v>
      </c>
      <c r="L33" s="21" t="e">
        <f t="shared" si="4"/>
        <v>#VALUE!</v>
      </c>
    </row>
    <row r="34" spans="1:12" ht="16" x14ac:dyDescent="0.2">
      <c r="A34" s="6">
        <f>INDEX(Emp!$A$6:$A$35,ROW()-6)</f>
        <v>0</v>
      </c>
      <c r="B34" s="16">
        <f>INDEX(Emp!$B$6:$B$35,ROW()-6)</f>
        <v>0</v>
      </c>
      <c r="C34" s="6" t="str">
        <f>IF(INDEX(Emp!$C$6:$C$35,ROW()-6)="",Assumptions!$B$15,INDEX(Emp!$C$6:$C$35,ROW()-6))</f>
        <v>Biweekly</v>
      </c>
      <c r="D34" s="12">
        <f>IF(C34="","",VLOOKUP(C34,Assumptions!$D$15:$E$18,2,FALSE))</f>
        <v>26</v>
      </c>
      <c r="E34" s="16" t="str">
        <f>INDEX(Emp!$D$6:$D$35,ROW()-6)</f>
        <v/>
      </c>
      <c r="F34" s="21" t="e">
        <f t="shared" si="0"/>
        <v>#VALUE!</v>
      </c>
      <c r="G34" s="7">
        <f>IF(B34="","",Assumptions!$B$7)</f>
        <v>0.5</v>
      </c>
      <c r="H34" s="7">
        <f>IF(B34="","",Assumptions!$B$9)</f>
        <v>0</v>
      </c>
      <c r="I34" s="21" t="e">
        <f t="shared" si="1"/>
        <v>#VALUE!</v>
      </c>
      <c r="J34" s="21" t="e">
        <f t="shared" si="2"/>
        <v>#VALUE!</v>
      </c>
      <c r="K34" s="21" t="e">
        <f t="shared" si="3"/>
        <v>#VALUE!</v>
      </c>
      <c r="L34" s="21" t="e">
        <f t="shared" si="4"/>
        <v>#VALUE!</v>
      </c>
    </row>
    <row r="35" spans="1:12" ht="16" x14ac:dyDescent="0.2">
      <c r="A35" s="6">
        <f>INDEX(Emp!$A$6:$A$35,ROW()-6)</f>
        <v>0</v>
      </c>
      <c r="B35" s="16">
        <f>INDEX(Emp!$B$6:$B$35,ROW()-6)</f>
        <v>0</v>
      </c>
      <c r="C35" s="6" t="str">
        <f>IF(INDEX(Emp!$C$6:$C$35,ROW()-6)="",Assumptions!$B$15,INDEX(Emp!$C$6:$C$35,ROW()-6))</f>
        <v>Biweekly</v>
      </c>
      <c r="D35" s="12">
        <f>IF(C35="","",VLOOKUP(C35,Assumptions!$D$15:$E$18,2,FALSE))</f>
        <v>26</v>
      </c>
      <c r="E35" s="16" t="str">
        <f>INDEX(Emp!$D$6:$D$35,ROW()-6)</f>
        <v/>
      </c>
      <c r="F35" s="21" t="e">
        <f t="shared" si="0"/>
        <v>#VALUE!</v>
      </c>
      <c r="G35" s="7">
        <f>IF(B35="","",Assumptions!$B$7)</f>
        <v>0.5</v>
      </c>
      <c r="H35" s="7">
        <f>IF(B35="","",Assumptions!$B$9)</f>
        <v>0</v>
      </c>
      <c r="I35" s="21" t="e">
        <f t="shared" si="1"/>
        <v>#VALUE!</v>
      </c>
      <c r="J35" s="21" t="e">
        <f t="shared" si="2"/>
        <v>#VALUE!</v>
      </c>
      <c r="K35" s="21" t="e">
        <f t="shared" si="3"/>
        <v>#VALUE!</v>
      </c>
      <c r="L35" s="21" t="e">
        <f t="shared" si="4"/>
        <v>#VALUE!</v>
      </c>
    </row>
    <row r="36" spans="1:12" ht="16" x14ac:dyDescent="0.2">
      <c r="A36" s="6">
        <f>INDEX(Emp!$A$6:$A$35,ROW()-6)</f>
        <v>0</v>
      </c>
      <c r="B36" s="16">
        <f>INDEX(Emp!$B$6:$B$35,ROW()-6)</f>
        <v>0</v>
      </c>
      <c r="C36" s="6" t="str">
        <f>IF(INDEX(Emp!$C$6:$C$35,ROW()-6)="",Assumptions!$B$15,INDEX(Emp!$C$6:$C$35,ROW()-6))</f>
        <v>Biweekly</v>
      </c>
      <c r="D36" s="12">
        <f>IF(C36="","",VLOOKUP(C36,Assumptions!$D$15:$E$18,2,FALSE))</f>
        <v>26</v>
      </c>
      <c r="E36" s="16" t="str">
        <f>INDEX(Emp!$D$6:$D$35,ROW()-6)</f>
        <v/>
      </c>
      <c r="F36" s="21" t="e">
        <f>IF(A36="","",E36*$B$4)</f>
        <v>#VALUE!</v>
      </c>
      <c r="G36" s="7">
        <f>IF(A36="","",Assumptions!$B$7)</f>
        <v>0.5</v>
      </c>
      <c r="H36" s="7">
        <f>IF(A36="","",Assumptions!$B$9)</f>
        <v>0</v>
      </c>
      <c r="I36" s="21" t="e">
        <f>IF(A36="","",F36*G36)</f>
        <v>#VALUE!</v>
      </c>
      <c r="J36" s="21" t="e">
        <f>IF(A36="","",IF(D36=0,"",I36/D36))</f>
        <v>#VALUE!</v>
      </c>
      <c r="K36" s="21" t="e">
        <f>IF(A36="","",F36*H36)</f>
        <v>#VALUE!</v>
      </c>
      <c r="L36" s="21" t="e">
        <f t="shared" si="4"/>
        <v>#VALUE!</v>
      </c>
    </row>
    <row r="37" spans="1:12" ht="16" x14ac:dyDescent="0.2">
      <c r="A37" s="22" t="s">
        <v>54</v>
      </c>
      <c r="B37" s="23"/>
      <c r="C37" s="23"/>
      <c r="D37" s="23"/>
      <c r="E37" s="24">
        <f>SUM(E7:E36)</f>
        <v>95000</v>
      </c>
      <c r="F37" s="24" t="e">
        <f>SUM(F7:F36)</f>
        <v>#VALUE!</v>
      </c>
      <c r="G37" s="23"/>
      <c r="H37" s="23"/>
      <c r="I37" s="24" t="e">
        <f>SUM(I7:I36)</f>
        <v>#VALUE!</v>
      </c>
      <c r="J37" s="23"/>
      <c r="K37" s="24" t="e">
        <f>SUM(K7:K36)</f>
        <v>#VALUE!</v>
      </c>
      <c r="L37" s="24" t="e">
        <f>SUM(L7:L36)</f>
        <v>#VALUE!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showGridLines="0" workbookViewId="0">
      <selection activeCell="C9" sqref="C9"/>
    </sheetView>
  </sheetViews>
  <sheetFormatPr baseColWidth="10" defaultColWidth="8.83203125" defaultRowHeight="15" x14ac:dyDescent="0.2"/>
  <cols>
    <col min="1" max="1" width="28" customWidth="1"/>
    <col min="2" max="2" width="10" customWidth="1"/>
    <col min="3" max="5" width="18" customWidth="1"/>
    <col min="6" max="6" width="14" customWidth="1"/>
    <col min="7" max="7" width="2" customWidth="1"/>
    <col min="8" max="10" width="18" customWidth="1"/>
  </cols>
  <sheetData>
    <row r="1" spans="1:10" ht="28" customHeight="1" x14ac:dyDescent="0.2">
      <c r="A1" s="29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3" spans="1:10" ht="16" x14ac:dyDescent="0.2">
      <c r="A3" s="1" t="s">
        <v>69</v>
      </c>
      <c r="B3" s="25">
        <f>Emp!B37</f>
        <v>95000</v>
      </c>
    </row>
    <row r="4" spans="1:10" ht="16" x14ac:dyDescent="0.2">
      <c r="A4" s="1" t="s">
        <v>70</v>
      </c>
      <c r="B4" s="25">
        <f>Emp!D37</f>
        <v>95000</v>
      </c>
    </row>
    <row r="5" spans="1:10" ht="16" x14ac:dyDescent="0.2">
      <c r="A5" s="1" t="s">
        <v>57</v>
      </c>
      <c r="B5" s="26">
        <f>Assumptions!B7</f>
        <v>0.5</v>
      </c>
    </row>
    <row r="6" spans="1:10" ht="16" x14ac:dyDescent="0.2">
      <c r="A6" s="1" t="s">
        <v>59</v>
      </c>
      <c r="B6" s="26">
        <f>Assumptions!B9</f>
        <v>0</v>
      </c>
    </row>
    <row r="7" spans="1:10" ht="16" x14ac:dyDescent="0.2">
      <c r="A7" s="1" t="s">
        <v>71</v>
      </c>
      <c r="B7" s="26">
        <f>Assumptions!B11</f>
        <v>0.5</v>
      </c>
    </row>
    <row r="9" spans="1:10" ht="22" customHeight="1" x14ac:dyDescent="0.2">
      <c r="A9" s="10" t="s">
        <v>32</v>
      </c>
      <c r="B9" s="10" t="s">
        <v>72</v>
      </c>
      <c r="C9" s="10" t="s">
        <v>73</v>
      </c>
      <c r="D9" s="10" t="s">
        <v>74</v>
      </c>
      <c r="E9" s="10" t="s">
        <v>75</v>
      </c>
      <c r="F9" s="10" t="s">
        <v>76</v>
      </c>
    </row>
    <row r="10" spans="1:10" ht="16" x14ac:dyDescent="0.2">
      <c r="A10" s="6" t="s">
        <v>36</v>
      </c>
      <c r="B10" s="13">
        <f>Assumptions!B19</f>
        <v>5.0000000000000001E-3</v>
      </c>
      <c r="C10" s="21">
        <f t="shared" ref="C10:C15" si="0">B10*$B$4</f>
        <v>475</v>
      </c>
      <c r="D10" s="21">
        <f t="shared" ref="D10:D15" si="1">C10*$B$5</f>
        <v>237.5</v>
      </c>
      <c r="E10" s="21">
        <f t="shared" ref="E10:E15" si="2">C10*$B$6</f>
        <v>0</v>
      </c>
      <c r="F10" s="21">
        <f t="shared" ref="F10:F15" si="3">C10-D10-E10</f>
        <v>237.5</v>
      </c>
    </row>
    <row r="11" spans="1:10" ht="16" x14ac:dyDescent="0.2">
      <c r="A11" s="6" t="s">
        <v>38</v>
      </c>
      <c r="B11" s="13">
        <f>Assumptions!B20</f>
        <v>7.1999999999999998E-3</v>
      </c>
      <c r="C11" s="21">
        <f t="shared" si="0"/>
        <v>684</v>
      </c>
      <c r="D11" s="21">
        <f t="shared" si="1"/>
        <v>342</v>
      </c>
      <c r="E11" s="21">
        <f t="shared" si="2"/>
        <v>0</v>
      </c>
      <c r="F11" s="21">
        <f t="shared" si="3"/>
        <v>342</v>
      </c>
    </row>
    <row r="12" spans="1:10" ht="16" x14ac:dyDescent="0.2">
      <c r="A12" s="6" t="s">
        <v>40</v>
      </c>
      <c r="B12" s="13">
        <f>Assumptions!B21</f>
        <v>8.8000000000000005E-3</v>
      </c>
      <c r="C12" s="21">
        <f t="shared" si="0"/>
        <v>836</v>
      </c>
      <c r="D12" s="21">
        <f t="shared" si="1"/>
        <v>418</v>
      </c>
      <c r="E12" s="21">
        <f t="shared" si="2"/>
        <v>0</v>
      </c>
      <c r="F12" s="21">
        <f t="shared" si="3"/>
        <v>418</v>
      </c>
    </row>
    <row r="13" spans="1:10" ht="16" x14ac:dyDescent="0.2">
      <c r="A13" s="6" t="s">
        <v>42</v>
      </c>
      <c r="B13" s="13">
        <f>Assumptions!B22</f>
        <v>0.01</v>
      </c>
      <c r="C13" s="21">
        <f t="shared" si="0"/>
        <v>950</v>
      </c>
      <c r="D13" s="21">
        <f t="shared" si="1"/>
        <v>475</v>
      </c>
      <c r="E13" s="21">
        <f t="shared" si="2"/>
        <v>0</v>
      </c>
      <c r="F13" s="21">
        <f t="shared" si="3"/>
        <v>475</v>
      </c>
    </row>
    <row r="14" spans="1:10" ht="16" x14ac:dyDescent="0.2">
      <c r="A14" s="6" t="s">
        <v>44</v>
      </c>
      <c r="B14" s="13">
        <f>Assumptions!B23</f>
        <v>1.1299999999999999E-2</v>
      </c>
      <c r="C14" s="21">
        <f t="shared" si="0"/>
        <v>1073.5</v>
      </c>
      <c r="D14" s="21">
        <f t="shared" si="1"/>
        <v>536.75</v>
      </c>
      <c r="E14" s="21">
        <f t="shared" si="2"/>
        <v>0</v>
      </c>
      <c r="F14" s="21">
        <f t="shared" si="3"/>
        <v>536.75</v>
      </c>
    </row>
    <row r="15" spans="1:10" ht="16" x14ac:dyDescent="0.2">
      <c r="A15" s="6" t="s">
        <v>46</v>
      </c>
      <c r="B15" s="13">
        <f>Assumptions!B24</f>
        <v>1.4999999999999999E-2</v>
      </c>
      <c r="C15" s="21">
        <f t="shared" si="0"/>
        <v>1425</v>
      </c>
      <c r="D15" s="21">
        <f t="shared" si="1"/>
        <v>712.5</v>
      </c>
      <c r="E15" s="21">
        <f t="shared" si="2"/>
        <v>0</v>
      </c>
      <c r="F15" s="21">
        <f t="shared" si="3"/>
        <v>712.5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showGridLines="0" workbookViewId="0">
      <selection activeCell="F21" sqref="F21"/>
    </sheetView>
  </sheetViews>
  <sheetFormatPr baseColWidth="10" defaultColWidth="8.83203125" defaultRowHeight="15" x14ac:dyDescent="0.2"/>
  <cols>
    <col min="1" max="1" width="28" customWidth="1"/>
    <col min="2" max="2" width="14" customWidth="1"/>
    <col min="3" max="4" width="18" customWidth="1"/>
    <col min="5" max="5" width="14" customWidth="1"/>
    <col min="6" max="8" width="16" customWidth="1"/>
  </cols>
  <sheetData>
    <row r="1" spans="1:8" ht="28" customHeight="1" x14ac:dyDescent="0.2">
      <c r="A1" s="29" t="s">
        <v>77</v>
      </c>
      <c r="B1" s="30"/>
      <c r="C1" s="30"/>
      <c r="D1" s="30"/>
      <c r="E1" s="30"/>
      <c r="F1" s="30"/>
      <c r="G1" s="30"/>
      <c r="H1" s="30"/>
    </row>
    <row r="3" spans="1:8" x14ac:dyDescent="0.2">
      <c r="A3" s="19" t="s">
        <v>78</v>
      </c>
      <c r="B3" s="11" t="s">
        <v>7</v>
      </c>
    </row>
    <row r="4" spans="1:8" ht="16" x14ac:dyDescent="0.2">
      <c r="A4" s="1" t="s">
        <v>60</v>
      </c>
      <c r="B4" s="25" t="str">
        <f>IF($B$3="","",INDEX(Emp!$B$6:$B$35,MATCH($B$3,Emp!$A$6:$A$35,0)))</f>
        <v/>
      </c>
      <c r="D4" s="19" t="s">
        <v>57</v>
      </c>
      <c r="E4" s="20">
        <f>Assumptions!B7</f>
        <v>0.5</v>
      </c>
    </row>
    <row r="5" spans="1:8" ht="16" x14ac:dyDescent="0.2">
      <c r="A5" s="1" t="s">
        <v>26</v>
      </c>
      <c r="B5" s="27" t="str">
        <f>IF($B$3="","",INDEX(Emp!$C$6:$C$35,MATCH($B$3,Emp!$A$6:$A$35,0)))</f>
        <v/>
      </c>
      <c r="D5" s="19" t="s">
        <v>59</v>
      </c>
      <c r="E5" s="20">
        <f>Assumptions!B9</f>
        <v>0</v>
      </c>
    </row>
    <row r="6" spans="1:8" ht="16" x14ac:dyDescent="0.2">
      <c r="A6" s="1" t="s">
        <v>27</v>
      </c>
      <c r="B6" s="28" t="str">
        <f>IF($B$5="","",VLOOKUP($B$5,Assumptions!$D$15:$E$18,2,FALSE))</f>
        <v/>
      </c>
    </row>
    <row r="7" spans="1:8" ht="16" x14ac:dyDescent="0.2">
      <c r="A7" s="1" t="s">
        <v>62</v>
      </c>
      <c r="B7" s="25" t="str">
        <f>IF($B$3="","",MIN($B$4,Assumptions!$B$14))</f>
        <v/>
      </c>
    </row>
    <row r="9" spans="1:8" ht="16" x14ac:dyDescent="0.2">
      <c r="A9" s="10" t="s">
        <v>32</v>
      </c>
      <c r="B9" s="10" t="s">
        <v>72</v>
      </c>
      <c r="C9" s="10" t="s">
        <v>79</v>
      </c>
      <c r="D9" s="10" t="s">
        <v>80</v>
      </c>
    </row>
    <row r="10" spans="1:8" ht="16" x14ac:dyDescent="0.2">
      <c r="A10" s="6" t="s">
        <v>36</v>
      </c>
      <c r="B10" s="13">
        <f>Assumptions!B19</f>
        <v>5.0000000000000001E-3</v>
      </c>
      <c r="C10" s="21" t="str">
        <f>IF($B$3="","",$B$7*B10*Assumptions!$B$7)</f>
        <v/>
      </c>
      <c r="D10" s="21" t="str">
        <f t="shared" ref="D10:D15" si="0">IF($B$3="","",IF($B$6=0,"",C10/$B$6))</f>
        <v/>
      </c>
    </row>
    <row r="11" spans="1:8" ht="16" x14ac:dyDescent="0.2">
      <c r="A11" s="6" t="s">
        <v>38</v>
      </c>
      <c r="B11" s="13">
        <f>Assumptions!B20</f>
        <v>7.1999999999999998E-3</v>
      </c>
      <c r="C11" s="21" t="str">
        <f>IF($B$3="","",$B$7*B11*Assumptions!$B$7)</f>
        <v/>
      </c>
      <c r="D11" s="21" t="str">
        <f t="shared" si="0"/>
        <v/>
      </c>
    </row>
    <row r="12" spans="1:8" ht="16" x14ac:dyDescent="0.2">
      <c r="A12" s="6" t="s">
        <v>40</v>
      </c>
      <c r="B12" s="13">
        <f>Assumptions!B21</f>
        <v>8.8000000000000005E-3</v>
      </c>
      <c r="C12" s="21" t="str">
        <f>IF($B$3="","",$B$7*B12*Assumptions!$B$7)</f>
        <v/>
      </c>
      <c r="D12" s="21" t="str">
        <f t="shared" si="0"/>
        <v/>
      </c>
    </row>
    <row r="13" spans="1:8" ht="16" x14ac:dyDescent="0.2">
      <c r="A13" s="6" t="s">
        <v>42</v>
      </c>
      <c r="B13" s="13">
        <f>Assumptions!B22</f>
        <v>0.01</v>
      </c>
      <c r="C13" s="21" t="str">
        <f>IF($B$3="","",$B$7*B13*Assumptions!$B$7)</f>
        <v/>
      </c>
      <c r="D13" s="21" t="str">
        <f t="shared" si="0"/>
        <v/>
      </c>
    </row>
    <row r="14" spans="1:8" ht="16" x14ac:dyDescent="0.2">
      <c r="A14" s="6" t="s">
        <v>44</v>
      </c>
      <c r="B14" s="13">
        <f>Assumptions!B23</f>
        <v>1.1299999999999999E-2</v>
      </c>
      <c r="C14" s="21" t="str">
        <f>IF($B$3="","",$B$7*B14*Assumptions!$B$7)</f>
        <v/>
      </c>
      <c r="D14" s="21" t="str">
        <f t="shared" si="0"/>
        <v/>
      </c>
    </row>
    <row r="15" spans="1:8" ht="16" x14ac:dyDescent="0.2">
      <c r="A15" s="6" t="s">
        <v>46</v>
      </c>
      <c r="B15" s="13">
        <f>Assumptions!B24</f>
        <v>1.4999999999999999E-2</v>
      </c>
      <c r="C15" s="21" t="str">
        <f>IF($B$3="","",$B$7*B15*Assumptions!$B$7)</f>
        <v/>
      </c>
      <c r="D15" s="21" t="str">
        <f t="shared" si="0"/>
        <v/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showGridLines="0" workbookViewId="0">
      <selection sqref="A1:H1"/>
    </sheetView>
  </sheetViews>
  <sheetFormatPr baseColWidth="10" defaultColWidth="8.83203125" defaultRowHeight="15" x14ac:dyDescent="0.2"/>
  <cols>
    <col min="1" max="1" width="48" customWidth="1"/>
    <col min="2" max="2" width="80" customWidth="1"/>
  </cols>
  <sheetData>
    <row r="1" spans="1:8" ht="28" customHeight="1" x14ac:dyDescent="0.2">
      <c r="A1" s="29" t="s">
        <v>81</v>
      </c>
      <c r="B1" s="30"/>
      <c r="C1" s="30"/>
      <c r="D1" s="30"/>
      <c r="E1" s="30"/>
      <c r="F1" s="30"/>
      <c r="G1" s="30"/>
      <c r="H1" s="30"/>
    </row>
    <row r="3" spans="1:8" ht="16" x14ac:dyDescent="0.2">
      <c r="A3" s="10" t="s">
        <v>82</v>
      </c>
      <c r="B3" s="10" t="s">
        <v>83</v>
      </c>
    </row>
    <row r="4" spans="1:8" ht="16" x14ac:dyDescent="0.2">
      <c r="A4" s="14" t="s">
        <v>84</v>
      </c>
      <c r="B4" s="14" t="s">
        <v>85</v>
      </c>
    </row>
    <row r="5" spans="1:8" ht="16" x14ac:dyDescent="0.2">
      <c r="A5" s="14" t="s">
        <v>86</v>
      </c>
      <c r="B5" s="14" t="s">
        <v>87</v>
      </c>
    </row>
    <row r="6" spans="1:8" ht="32" x14ac:dyDescent="0.2">
      <c r="A6" s="14" t="s">
        <v>88</v>
      </c>
      <c r="B6" s="14" t="s">
        <v>39</v>
      </c>
    </row>
    <row r="7" spans="1:8" ht="32" x14ac:dyDescent="0.2">
      <c r="A7" s="14" t="s">
        <v>89</v>
      </c>
      <c r="B7" s="14" t="s">
        <v>90</v>
      </c>
    </row>
    <row r="8" spans="1:8" ht="16" x14ac:dyDescent="0.2">
      <c r="A8" s="14" t="s">
        <v>91</v>
      </c>
      <c r="B8" s="14" t="s">
        <v>37</v>
      </c>
    </row>
    <row r="9" spans="1:8" ht="32" x14ac:dyDescent="0.2">
      <c r="A9" s="14" t="s">
        <v>92</v>
      </c>
      <c r="B9" s="14" t="s">
        <v>41</v>
      </c>
    </row>
    <row r="10" spans="1:8" ht="16" x14ac:dyDescent="0.2">
      <c r="A10" s="14" t="s">
        <v>93</v>
      </c>
      <c r="B10" s="14" t="s">
        <v>43</v>
      </c>
    </row>
    <row r="11" spans="1:8" ht="32" x14ac:dyDescent="0.2">
      <c r="A11" s="14" t="s">
        <v>94</v>
      </c>
      <c r="B11" s="14" t="s">
        <v>45</v>
      </c>
    </row>
    <row r="12" spans="1:8" ht="16" x14ac:dyDescent="0.2">
      <c r="A12" s="14" t="s">
        <v>95</v>
      </c>
      <c r="B12" s="14" t="s">
        <v>96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Assumptions</vt:lpstr>
      <vt:lpstr>Emp</vt:lpstr>
      <vt:lpstr>Scenario_Calc</vt:lpstr>
      <vt:lpstr>Summary</vt:lpstr>
      <vt:lpstr>Employee_Compare</vt:lpstr>
      <vt:lpstr>References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McMahon</cp:lastModifiedBy>
  <dcterms:created xsi:type="dcterms:W3CDTF">2026-02-12T18:28:55Z</dcterms:created>
  <dcterms:modified xsi:type="dcterms:W3CDTF">2026-02-13T20:13:07Z</dcterms:modified>
</cp:coreProperties>
</file>