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dianamcmahon/Downloads/"/>
    </mc:Choice>
  </mc:AlternateContent>
  <xr:revisionPtr revIDLastSave="0" documentId="13_ncr:1_{DB2875B0-8AEE-B34A-84CB-FFE21151CA27}" xr6:coauthVersionLast="47" xr6:coauthVersionMax="47" xr10:uidLastSave="{00000000-0000-0000-0000-000000000000}"/>
  <bookViews>
    <workbookView xWindow="0" yWindow="660" windowWidth="34560" windowHeight="20560" xr2:uid="{00000000-000D-0000-FFFF-FFFF00000000}"/>
  </bookViews>
  <sheets>
    <sheet name="Instructions" sheetId="4" r:id="rId1"/>
    <sheet name="Inputs" sheetId="1" r:id="rId2"/>
    <sheet name="Employee_Groups" sheetId="2" r:id="rId3"/>
    <sheet name="Summar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4" i="3"/>
  <c r="B23" i="3"/>
  <c r="B22" i="3"/>
  <c r="B21" i="3"/>
  <c r="B20" i="3"/>
  <c r="E11" i="3"/>
  <c r="B8" i="2"/>
  <c r="E4" i="3" s="1"/>
  <c r="G6" i="2"/>
  <c r="F6" i="2"/>
  <c r="H6" i="2" s="1"/>
  <c r="F5" i="2"/>
  <c r="H5" i="2" s="1"/>
  <c r="F4" i="2"/>
  <c r="H4" i="2" s="1"/>
  <c r="E19" i="1"/>
  <c r="E12" i="3" s="1"/>
  <c r="E5" i="1"/>
  <c r="E21" i="1" s="1"/>
  <c r="J6" i="2" l="1"/>
  <c r="I6" i="2"/>
  <c r="K6" i="2" s="1"/>
  <c r="L6" i="2" s="1"/>
  <c r="M6" i="2" s="1"/>
  <c r="G4" i="2"/>
  <c r="G5" i="2"/>
  <c r="N6" i="2" l="1"/>
  <c r="O6" i="2"/>
  <c r="I5" i="2"/>
  <c r="K5" i="2" s="1"/>
  <c r="L5" i="2" s="1"/>
  <c r="M5" i="2" s="1"/>
  <c r="J5" i="2"/>
  <c r="P6" i="2"/>
  <c r="I4" i="2"/>
  <c r="K4" i="2" s="1"/>
  <c r="J4" i="2"/>
  <c r="K8" i="2" l="1"/>
  <c r="L4" i="2"/>
  <c r="J8" i="2"/>
  <c r="N5" i="2"/>
  <c r="O5" i="2"/>
  <c r="P5" i="2" s="1"/>
  <c r="E5" i="3" l="1"/>
  <c r="L8" i="2"/>
  <c r="M4" i="2"/>
  <c r="O4" i="2" l="1"/>
  <c r="M8" i="2"/>
  <c r="N4" i="2"/>
  <c r="N8" i="2" s="1"/>
  <c r="E20" i="1"/>
  <c r="O8" i="2" l="1"/>
  <c r="P4" i="2"/>
  <c r="E6" i="3" l="1"/>
  <c r="P8" i="2"/>
  <c r="D24" i="3" l="1"/>
  <c r="D23" i="3"/>
  <c r="E8" i="3"/>
  <c r="D21" i="3"/>
  <c r="C21" i="3"/>
  <c r="D22" i="3"/>
  <c r="E13" i="3"/>
  <c r="D20" i="3"/>
  <c r="C23" i="3"/>
  <c r="C24" i="3"/>
  <c r="C22" i="3"/>
  <c r="C20" i="3"/>
  <c r="C25" i="3"/>
  <c r="E14" i="3"/>
  <c r="E15" i="3" s="1"/>
  <c r="E16" i="3"/>
  <c r="D25" i="3"/>
  <c r="E7" i="3"/>
</calcChain>
</file>

<file path=xl/sharedStrings.xml><?xml version="1.0" encoding="utf-8"?>
<sst xmlns="http://schemas.openxmlformats.org/spreadsheetml/2006/main" count="88" uniqueCount="76">
  <si>
    <t>Paid Leave Mandate Impact Model (VA) — Inputs</t>
  </si>
  <si>
    <t>Core policy assumptions</t>
  </si>
  <si>
    <t>Hours worked per 1 hour of paid leave (e.g., 30)</t>
  </si>
  <si>
    <t>Accrual rate (leave hours / hours worked)</t>
  </si>
  <si>
    <t>Payroll tax load on wages (enter as %)</t>
  </si>
  <si>
    <t>Annual paid leave usage cap (hours) — leave blank if no cap</t>
  </si>
  <si>
    <t>Count overtime hours toward accrual? (1=Yes, 0=No)</t>
  </si>
  <si>
    <t>Overtime pay multiplier (e.g., 1.5)</t>
  </si>
  <si>
    <t>Weeks per year</t>
  </si>
  <si>
    <t>Business financials (for margin / net profit impact)</t>
  </si>
  <si>
    <t>Annual revenue ($)</t>
  </si>
  <si>
    <t>Net profit ($) — optional if you provide net margin</t>
  </si>
  <si>
    <t>Net profit margin (%) — optional if you provide net profit</t>
  </si>
  <si>
    <t/>
  </si>
  <si>
    <t>Override total annual payroll ($) — optional (else from Employee_Groups)</t>
  </si>
  <si>
    <t>Derived (do not edit)</t>
  </si>
  <si>
    <t>Net profit used ($)</t>
  </si>
  <si>
    <t>Payroll used ($)</t>
  </si>
  <si>
    <t>Loaded leave cost rate (% of wages) = accrual × (1+tax)</t>
  </si>
  <si>
    <t>Employee Groups — enter your workforce mix (blue cells)</t>
  </si>
  <si>
    <t>Group</t>
  </si>
  <si>
    <t>Headcount</t>
  </si>
  <si>
    <t>Avg hourly earnings ($)</t>
  </si>
  <si>
    <t>Hours/week (ST)</t>
  </si>
  <si>
    <t>OT hours/week</t>
  </si>
  <si>
    <t>Weeks/year</t>
  </si>
  <si>
    <t>Annual ST hours</t>
  </si>
  <si>
    <t>Annual OT hours</t>
  </si>
  <si>
    <t>Annual hours for accrual</t>
  </si>
  <si>
    <t>Annual wages ($)</t>
  </si>
  <si>
    <t>Accrued leave hours</t>
  </si>
  <si>
    <t>Payable leave hours</t>
  </si>
  <si>
    <t>Direct leave cost ($)</t>
  </si>
  <si>
    <t>Payroll tax on leave ($)</t>
  </si>
  <si>
    <t>Loaded leave cost ($)</t>
  </si>
  <si>
    <t>Leave cost % of wages</t>
  </si>
  <si>
    <t>Full-time</t>
  </si>
  <si>
    <t>Part-time</t>
  </si>
  <si>
    <t>Tipped roles (avg)</t>
  </si>
  <si>
    <t>TOTAL</t>
  </si>
  <si>
    <t>Summary — Cost, Revenue Pressure, and Margin Impact</t>
  </si>
  <si>
    <t>Totals (from Employee_Groups)</t>
  </si>
  <si>
    <t>Total headcount</t>
  </si>
  <si>
    <t>Total annual wages ($)</t>
  </si>
  <si>
    <t>Total loaded leave cost ($)</t>
  </si>
  <si>
    <t>Loaded leave cost as % of payroll</t>
  </si>
  <si>
    <t>Loaded leave cost as % of revenue</t>
  </si>
  <si>
    <t>Profit &amp; margin impact (uses Inputs tab)</t>
  </si>
  <si>
    <t>Revenue ($)</t>
  </si>
  <si>
    <t>Profit reduction (% of net profit)</t>
  </si>
  <si>
    <t>New net profit ($)</t>
  </si>
  <si>
    <t>New net margin (%)</t>
  </si>
  <si>
    <t>Required revenue increase to hold profit (%)</t>
  </si>
  <si>
    <t>Sensitivity: Profit reduction at different starting net margins</t>
  </si>
  <si>
    <t>Starting net margin</t>
  </si>
  <si>
    <t>Starting net profit ($)</t>
  </si>
  <si>
    <t>Profit reduction (%)</t>
  </si>
  <si>
    <t>How to use this model</t>
  </si>
  <si>
    <t>Quick start:</t>
  </si>
  <si>
    <t>1) Open 'Employee_Groups' and replace the example rows with your real workforce groups.</t>
  </si>
  <si>
    <t xml:space="preserve">   - Group can be role-based (cashiers, servers, technicians) or pay-plan-based (FT, PT, tipped, commission).</t>
  </si>
  <si>
    <t xml:space="preserve">   - Enter Avg hourly earnings as the 'regular rate' you expect paid leave to be paid at.</t>
  </si>
  <si>
    <t xml:space="preserve">     • For tipped roles, this is often average total earnings (base + tips).</t>
  </si>
  <si>
    <t xml:space="preserve">     • For commission roles, use an averaged hourly regular rate (you can model multiple groups if variability matters).</t>
  </si>
  <si>
    <t xml:space="preserve">   - Enter overtime hours/week if you want overtime to count toward accrual and payroll.</t>
  </si>
  <si>
    <t>2) Open 'Inputs' and set policy assumptions and your business financials (revenue + profit or margin).</t>
  </si>
  <si>
    <t>3) Read the 'Summary' tab for cost as % payroll, % revenue, and % net profit eliminated.</t>
  </si>
  <si>
    <t>Key knobs:</t>
  </si>
  <si>
    <t>- 'Hours worked per 1 hour of paid leave' drives the 3.33% figure (1/30).</t>
  </si>
  <si>
    <t>- 'Payroll tax load' converts wage cost to employer-loaded cost.</t>
  </si>
  <si>
    <t>- 'Usage cap' caps payable leave hours per employee. Leave blank if none.</t>
  </si>
  <si>
    <t>- 'Count overtime toward accrual' toggles whether OT hours create additional leave accrual.</t>
  </si>
  <si>
    <t>Interpretation:</t>
  </si>
  <si>
    <t>- Loaded leave cost as % of payroll = an 'effective payroll tax' on top of wages.</t>
  </si>
  <si>
    <t>- % of revenue = required price increase (if fully passed through).</t>
  </si>
  <si>
    <t>- % of net profit = margin compression (if absorbed).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</si>
</sst>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"/>
    <numFmt numFmtId="166" formatCode="&quot;$&quot;#,##0.00"/>
    <numFmt numFmtId="167" formatCode="0.0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1F4E79"/>
      </patternFill>
    </fill>
    <fill>
      <patternFill patternType="solid">
        <fgColor rgb="FFE7F3E7"/>
      </patternFill>
    </fill>
  </fills>
  <borders count="4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4" fillId="3" borderId="1" xfId="0" applyNumberFormat="1" applyFont="1" applyFill="1" applyBorder="1" applyAlignment="1">
      <alignment horizontal="right" vertical="center"/>
    </xf>
    <xf numFmtId="10" fontId="3" fillId="4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6" fontId="4" fillId="3" borderId="1" xfId="0" applyNumberFormat="1" applyFont="1" applyFill="1" applyBorder="1" applyAlignment="1">
      <alignment horizontal="right" vertical="center"/>
    </xf>
    <xf numFmtId="167" fontId="4" fillId="3" borderId="1" xfId="0" applyNumberFormat="1" applyFont="1" applyFill="1" applyBorder="1" applyAlignment="1">
      <alignment horizontal="right" vertical="center"/>
    </xf>
    <xf numFmtId="1" fontId="6" fillId="6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165" fontId="7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2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abSelected="1" workbookViewId="0">
      <selection activeCell="A28" sqref="A28"/>
    </sheetView>
  </sheetViews>
  <sheetFormatPr baseColWidth="10" defaultColWidth="8.83203125" defaultRowHeight="15" x14ac:dyDescent="0.2"/>
  <cols>
    <col min="1" max="1" width="120" customWidth="1"/>
    <col min="2" max="6" width="4" customWidth="1"/>
  </cols>
  <sheetData>
    <row r="1" spans="1:6" ht="21" x14ac:dyDescent="0.25">
      <c r="A1" s="24" t="s">
        <v>57</v>
      </c>
      <c r="B1" s="25"/>
      <c r="C1" s="25"/>
      <c r="D1" s="25"/>
      <c r="E1" s="25"/>
      <c r="F1" s="25"/>
    </row>
    <row r="3" spans="1:6" x14ac:dyDescent="0.2">
      <c r="A3" s="30" t="s">
        <v>58</v>
      </c>
      <c r="B3" s="25"/>
      <c r="C3" s="25"/>
      <c r="D3" s="25"/>
      <c r="E3" s="25"/>
      <c r="F3" s="25"/>
    </row>
    <row r="4" spans="1:6" x14ac:dyDescent="0.2">
      <c r="A4" s="30" t="s">
        <v>59</v>
      </c>
      <c r="B4" s="25"/>
      <c r="C4" s="25"/>
      <c r="D4" s="25"/>
      <c r="E4" s="25"/>
      <c r="F4" s="25"/>
    </row>
    <row r="5" spans="1:6" x14ac:dyDescent="0.2">
      <c r="A5" s="30" t="s">
        <v>60</v>
      </c>
      <c r="B5" s="25"/>
      <c r="C5" s="25"/>
      <c r="D5" s="25"/>
      <c r="E5" s="25"/>
      <c r="F5" s="25"/>
    </row>
    <row r="6" spans="1:6" x14ac:dyDescent="0.2">
      <c r="A6" s="30" t="s">
        <v>61</v>
      </c>
      <c r="B6" s="25"/>
      <c r="C6" s="25"/>
      <c r="D6" s="25"/>
      <c r="E6" s="25"/>
      <c r="F6" s="25"/>
    </row>
    <row r="7" spans="1:6" x14ac:dyDescent="0.2">
      <c r="A7" s="30" t="s">
        <v>62</v>
      </c>
      <c r="B7" s="25"/>
      <c r="C7" s="25"/>
      <c r="D7" s="25"/>
      <c r="E7" s="25"/>
      <c r="F7" s="25"/>
    </row>
    <row r="8" spans="1:6" x14ac:dyDescent="0.2">
      <c r="A8" s="30" t="s">
        <v>63</v>
      </c>
      <c r="B8" s="25"/>
      <c r="C8" s="25"/>
      <c r="D8" s="25"/>
      <c r="E8" s="25"/>
      <c r="F8" s="25"/>
    </row>
    <row r="9" spans="1:6" x14ac:dyDescent="0.2">
      <c r="A9" s="30" t="s">
        <v>64</v>
      </c>
      <c r="B9" s="25"/>
      <c r="C9" s="25"/>
      <c r="D9" s="25"/>
      <c r="E9" s="25"/>
      <c r="F9" s="25"/>
    </row>
    <row r="10" spans="1:6" x14ac:dyDescent="0.2">
      <c r="A10" s="30" t="s">
        <v>65</v>
      </c>
      <c r="B10" s="25"/>
      <c r="C10" s="25"/>
      <c r="D10" s="25"/>
      <c r="E10" s="25"/>
      <c r="F10" s="25"/>
    </row>
    <row r="11" spans="1:6" x14ac:dyDescent="0.2">
      <c r="A11" s="30" t="s">
        <v>66</v>
      </c>
      <c r="B11" s="25"/>
      <c r="C11" s="25"/>
      <c r="D11" s="25"/>
      <c r="E11" s="25"/>
      <c r="F11" s="25"/>
    </row>
    <row r="12" spans="1:6" x14ac:dyDescent="0.2">
      <c r="A12" s="30" t="s">
        <v>13</v>
      </c>
      <c r="B12" s="25"/>
      <c r="C12" s="25"/>
      <c r="D12" s="25"/>
      <c r="E12" s="25"/>
      <c r="F12" s="25"/>
    </row>
    <row r="13" spans="1:6" x14ac:dyDescent="0.2">
      <c r="A13" s="30" t="s">
        <v>67</v>
      </c>
      <c r="B13" s="25"/>
      <c r="C13" s="25"/>
      <c r="D13" s="25"/>
      <c r="E13" s="25"/>
      <c r="F13" s="25"/>
    </row>
    <row r="14" spans="1:6" x14ac:dyDescent="0.2">
      <c r="A14" s="30" t="s">
        <v>68</v>
      </c>
      <c r="B14" s="25"/>
      <c r="C14" s="25"/>
      <c r="D14" s="25"/>
      <c r="E14" s="25"/>
      <c r="F14" s="25"/>
    </row>
    <row r="15" spans="1:6" x14ac:dyDescent="0.2">
      <c r="A15" s="30" t="s">
        <v>69</v>
      </c>
      <c r="B15" s="25"/>
      <c r="C15" s="25"/>
      <c r="D15" s="25"/>
      <c r="E15" s="25"/>
      <c r="F15" s="25"/>
    </row>
    <row r="16" spans="1:6" x14ac:dyDescent="0.2">
      <c r="A16" s="30" t="s">
        <v>70</v>
      </c>
      <c r="B16" s="25"/>
      <c r="C16" s="25"/>
      <c r="D16" s="25"/>
      <c r="E16" s="25"/>
      <c r="F16" s="25"/>
    </row>
    <row r="17" spans="1:6" x14ac:dyDescent="0.2">
      <c r="A17" s="30" t="s">
        <v>71</v>
      </c>
      <c r="B17" s="25"/>
      <c r="C17" s="25"/>
      <c r="D17" s="25"/>
      <c r="E17" s="25"/>
      <c r="F17" s="25"/>
    </row>
    <row r="18" spans="1:6" x14ac:dyDescent="0.2">
      <c r="A18" s="30" t="s">
        <v>13</v>
      </c>
      <c r="B18" s="25"/>
      <c r="C18" s="25"/>
      <c r="D18" s="25"/>
      <c r="E18" s="25"/>
      <c r="F18" s="25"/>
    </row>
    <row r="19" spans="1:6" x14ac:dyDescent="0.2">
      <c r="A19" s="30" t="s">
        <v>72</v>
      </c>
      <c r="B19" s="25"/>
      <c r="C19" s="25"/>
      <c r="D19" s="25"/>
      <c r="E19" s="25"/>
      <c r="F19" s="25"/>
    </row>
    <row r="20" spans="1:6" x14ac:dyDescent="0.2">
      <c r="A20" s="30" t="s">
        <v>73</v>
      </c>
      <c r="B20" s="25"/>
      <c r="C20" s="25"/>
      <c r="D20" s="25"/>
      <c r="E20" s="25"/>
      <c r="F20" s="25"/>
    </row>
    <row r="21" spans="1:6" x14ac:dyDescent="0.2">
      <c r="A21" s="30" t="s">
        <v>74</v>
      </c>
      <c r="B21" s="25"/>
      <c r="C21" s="25"/>
      <c r="D21" s="25"/>
      <c r="E21" s="25"/>
      <c r="F21" s="25"/>
    </row>
    <row r="22" spans="1:6" x14ac:dyDescent="0.2">
      <c r="A22" s="30" t="s">
        <v>75</v>
      </c>
      <c r="B22" s="25"/>
      <c r="C22" s="25"/>
      <c r="D22" s="25"/>
      <c r="E22" s="25"/>
      <c r="F22" s="25"/>
    </row>
  </sheetData>
  <mergeCells count="21">
    <mergeCell ref="A3:F3"/>
    <mergeCell ref="A21:F21"/>
    <mergeCell ref="A14:F14"/>
    <mergeCell ref="A5:F5"/>
    <mergeCell ref="A8:F8"/>
    <mergeCell ref="A1:F1"/>
    <mergeCell ref="A6:F6"/>
    <mergeCell ref="A7:F7"/>
    <mergeCell ref="A22:F22"/>
    <mergeCell ref="A17:F17"/>
    <mergeCell ref="A4:F4"/>
    <mergeCell ref="A20:F20"/>
    <mergeCell ref="A10:F10"/>
    <mergeCell ref="A13:F13"/>
    <mergeCell ref="A19:F19"/>
    <mergeCell ref="A9:F9"/>
    <mergeCell ref="A15:F15"/>
    <mergeCell ref="A11:F11"/>
    <mergeCell ref="A16:F16"/>
    <mergeCell ref="A12:F12"/>
    <mergeCell ref="A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52" customWidth="1"/>
    <col min="2" max="4" width="4" customWidth="1"/>
    <col min="5" max="5" width="18" customWidth="1"/>
  </cols>
  <sheetData>
    <row r="1" spans="1:5" ht="21" x14ac:dyDescent="0.25">
      <c r="A1" s="24" t="s">
        <v>0</v>
      </c>
      <c r="B1" s="25"/>
      <c r="C1" s="25"/>
      <c r="D1" s="25"/>
      <c r="E1" s="25"/>
    </row>
    <row r="3" spans="1:5" x14ac:dyDescent="0.2">
      <c r="A3" s="29" t="s">
        <v>1</v>
      </c>
      <c r="B3" s="25"/>
      <c r="C3" s="25"/>
      <c r="D3" s="25"/>
      <c r="E3" s="25"/>
    </row>
    <row r="4" spans="1:5" x14ac:dyDescent="0.2">
      <c r="A4" s="26" t="s">
        <v>2</v>
      </c>
      <c r="B4" s="27"/>
      <c r="C4" s="27"/>
      <c r="D4" s="28"/>
      <c r="E4" s="1">
        <v>30</v>
      </c>
    </row>
    <row r="5" spans="1:5" x14ac:dyDescent="0.2">
      <c r="A5" s="26" t="s">
        <v>3</v>
      </c>
      <c r="B5" s="27"/>
      <c r="C5" s="27"/>
      <c r="D5" s="28"/>
      <c r="E5" s="2">
        <f>IF(E4=0,"",1/E4)</f>
        <v>3.3333333333333333E-2</v>
      </c>
    </row>
    <row r="6" spans="1:5" x14ac:dyDescent="0.2">
      <c r="A6" s="26" t="s">
        <v>4</v>
      </c>
      <c r="B6" s="27"/>
      <c r="C6" s="27"/>
      <c r="D6" s="28"/>
      <c r="E6" s="3">
        <v>7.9000000000000001E-2</v>
      </c>
    </row>
    <row r="7" spans="1:5" x14ac:dyDescent="0.2">
      <c r="A7" s="26" t="s">
        <v>5</v>
      </c>
      <c r="B7" s="27"/>
      <c r="C7" s="27"/>
      <c r="D7" s="28"/>
      <c r="E7" s="1">
        <v>40</v>
      </c>
    </row>
    <row r="8" spans="1:5" x14ac:dyDescent="0.2">
      <c r="A8" s="26" t="s">
        <v>6</v>
      </c>
      <c r="B8" s="27"/>
      <c r="C8" s="27"/>
      <c r="D8" s="28"/>
      <c r="E8" s="1">
        <v>1</v>
      </c>
    </row>
    <row r="9" spans="1:5" x14ac:dyDescent="0.2">
      <c r="A9" s="26" t="s">
        <v>7</v>
      </c>
      <c r="B9" s="27"/>
      <c r="C9" s="27"/>
      <c r="D9" s="28"/>
      <c r="E9" s="4">
        <v>1.5</v>
      </c>
    </row>
    <row r="10" spans="1:5" x14ac:dyDescent="0.2">
      <c r="A10" s="26" t="s">
        <v>8</v>
      </c>
      <c r="B10" s="27"/>
      <c r="C10" s="27"/>
      <c r="D10" s="28"/>
      <c r="E10" s="1">
        <v>52</v>
      </c>
    </row>
    <row r="12" spans="1:5" x14ac:dyDescent="0.2">
      <c r="A12" s="29" t="s">
        <v>9</v>
      </c>
      <c r="B12" s="25"/>
      <c r="C12" s="25"/>
      <c r="D12" s="25"/>
      <c r="E12" s="25"/>
    </row>
    <row r="13" spans="1:5" x14ac:dyDescent="0.2">
      <c r="A13" s="26" t="s">
        <v>10</v>
      </c>
      <c r="B13" s="27"/>
      <c r="C13" s="27"/>
      <c r="D13" s="28"/>
      <c r="E13" s="5">
        <v>1000000</v>
      </c>
    </row>
    <row r="14" spans="1:5" x14ac:dyDescent="0.2">
      <c r="A14" s="26" t="s">
        <v>11</v>
      </c>
      <c r="B14" s="27"/>
      <c r="C14" s="27"/>
      <c r="D14" s="28"/>
      <c r="E14" s="5">
        <v>50000</v>
      </c>
    </row>
    <row r="15" spans="1:5" x14ac:dyDescent="0.2">
      <c r="A15" s="26" t="s">
        <v>12</v>
      </c>
      <c r="B15" s="27"/>
      <c r="C15" s="27"/>
      <c r="D15" s="28"/>
      <c r="E15" s="3" t="s">
        <v>13</v>
      </c>
    </row>
    <row r="16" spans="1:5" x14ac:dyDescent="0.2">
      <c r="A16" s="26" t="s">
        <v>14</v>
      </c>
      <c r="B16" s="27"/>
      <c r="C16" s="27"/>
      <c r="D16" s="28"/>
      <c r="E16" s="5" t="s">
        <v>13</v>
      </c>
    </row>
    <row r="18" spans="1:5" x14ac:dyDescent="0.2">
      <c r="A18" s="29" t="s">
        <v>15</v>
      </c>
      <c r="B18" s="25"/>
      <c r="C18" s="25"/>
      <c r="D18" s="25"/>
      <c r="E18" s="25"/>
    </row>
    <row r="19" spans="1:5" x14ac:dyDescent="0.2">
      <c r="A19" s="26" t="s">
        <v>16</v>
      </c>
      <c r="B19" s="27"/>
      <c r="C19" s="27"/>
      <c r="D19" s="28"/>
      <c r="E19" s="6">
        <f>IF(E14&lt;&gt;"",E14,IF(E15&lt;&gt;"",E13*E15,""))</f>
        <v>50000</v>
      </c>
    </row>
    <row r="20" spans="1:5" x14ac:dyDescent="0.2">
      <c r="A20" s="26" t="s">
        <v>17</v>
      </c>
      <c r="B20" s="27"/>
      <c r="C20" s="27"/>
      <c r="D20" s="28"/>
      <c r="E20" s="6">
        <f>IF(E16&lt;&gt;"",E16,Summary!E5)</f>
        <v>627328</v>
      </c>
    </row>
    <row r="21" spans="1:5" x14ac:dyDescent="0.2">
      <c r="A21" s="26" t="s">
        <v>18</v>
      </c>
      <c r="B21" s="27"/>
      <c r="C21" s="27"/>
      <c r="D21" s="28"/>
      <c r="E21" s="2">
        <f>IF(E5="","",E5*(1+E6))</f>
        <v>3.5966666666666668E-2</v>
      </c>
    </row>
  </sheetData>
  <mergeCells count="18">
    <mergeCell ref="A20:D20"/>
    <mergeCell ref="A21:D21"/>
    <mergeCell ref="A15:D15"/>
    <mergeCell ref="A7:D7"/>
    <mergeCell ref="A5:D5"/>
    <mergeCell ref="A9:D9"/>
    <mergeCell ref="A12:E12"/>
    <mergeCell ref="A8:D8"/>
    <mergeCell ref="A6:D6"/>
    <mergeCell ref="A1:E1"/>
    <mergeCell ref="A16:D16"/>
    <mergeCell ref="A19:D19"/>
    <mergeCell ref="A10:D10"/>
    <mergeCell ref="A18:E18"/>
    <mergeCell ref="A13:D13"/>
    <mergeCell ref="A14:D14"/>
    <mergeCell ref="A3:E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>
      <selection activeCell="B21" sqref="B21"/>
    </sheetView>
  </sheetViews>
  <sheetFormatPr baseColWidth="10" defaultColWidth="8.83203125" defaultRowHeight="15" x14ac:dyDescent="0.2"/>
  <cols>
    <col min="1" max="1" width="18" customWidth="1"/>
    <col min="2" max="2" width="10" customWidth="1"/>
    <col min="3" max="3" width="20" customWidth="1"/>
    <col min="4" max="4" width="14" customWidth="1"/>
    <col min="5" max="5" width="12" customWidth="1"/>
    <col min="6" max="6" width="10" customWidth="1"/>
    <col min="7" max="8" width="14" customWidth="1"/>
    <col min="9" max="9" width="18" customWidth="1"/>
    <col min="10" max="13" width="16" customWidth="1"/>
    <col min="14" max="16" width="18" customWidth="1"/>
  </cols>
  <sheetData>
    <row r="1" spans="1:16" ht="21" x14ac:dyDescent="0.2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3" spans="1:16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  <c r="P3" s="7" t="s">
        <v>35</v>
      </c>
    </row>
    <row r="4" spans="1:16" ht="16" x14ac:dyDescent="0.2">
      <c r="A4" s="8" t="s">
        <v>36</v>
      </c>
      <c r="B4" s="1">
        <v>6</v>
      </c>
      <c r="C4" s="9">
        <v>18</v>
      </c>
      <c r="D4" s="10">
        <v>40</v>
      </c>
      <c r="E4" s="10">
        <v>2</v>
      </c>
      <c r="F4" s="11">
        <f>Inputs!E10</f>
        <v>52</v>
      </c>
      <c r="G4" s="12">
        <f>D4*F4</f>
        <v>2080</v>
      </c>
      <c r="H4" s="12">
        <f>E4*F4</f>
        <v>104</v>
      </c>
      <c r="I4" s="12">
        <f>IF(Inputs!E8=1,G4+H4,G4)</f>
        <v>2184</v>
      </c>
      <c r="J4" s="13">
        <f>B4*(C4*G4+C4*Inputs!E9*H4)</f>
        <v>241488</v>
      </c>
      <c r="K4" s="12">
        <f>IF(Inputs!E4=0,"",I4/Inputs!E4)</f>
        <v>72.8</v>
      </c>
      <c r="L4" s="12">
        <f>IF(Inputs!E7="",K4,MIN(K4,Inputs!E7))</f>
        <v>40</v>
      </c>
      <c r="M4" s="13">
        <f>B4*C4*L4</f>
        <v>4320</v>
      </c>
      <c r="N4" s="13">
        <f>M4*Inputs!E6</f>
        <v>341.28000000000003</v>
      </c>
      <c r="O4" s="13">
        <f>M4*(1+Inputs!E6)</f>
        <v>4661.28</v>
      </c>
      <c r="P4" s="14">
        <f>IF(J4=0,"",O4/J4)</f>
        <v>1.9302325581395347E-2</v>
      </c>
    </row>
    <row r="5" spans="1:16" ht="16" x14ac:dyDescent="0.2">
      <c r="A5" s="8" t="s">
        <v>37</v>
      </c>
      <c r="B5" s="1">
        <v>6</v>
      </c>
      <c r="C5" s="9">
        <v>16</v>
      </c>
      <c r="D5" s="10">
        <v>20</v>
      </c>
      <c r="E5" s="10">
        <v>0</v>
      </c>
      <c r="F5" s="11">
        <f>Inputs!E10</f>
        <v>52</v>
      </c>
      <c r="G5" s="12">
        <f>D5*F5</f>
        <v>1040</v>
      </c>
      <c r="H5" s="12">
        <f>E5*F5</f>
        <v>0</v>
      </c>
      <c r="I5" s="12">
        <f>IF(Inputs!E8=1,G5+H5,G5)</f>
        <v>1040</v>
      </c>
      <c r="J5" s="13">
        <f>B5*(C5*G5+C5*Inputs!E9*H5)</f>
        <v>99840</v>
      </c>
      <c r="K5" s="12">
        <f>IF(Inputs!E4=0,"",I5/Inputs!E4)</f>
        <v>34.666666666666664</v>
      </c>
      <c r="L5" s="12">
        <f>IF(Inputs!E7="",K5,MIN(K5,Inputs!E7))</f>
        <v>34.666666666666664</v>
      </c>
      <c r="M5" s="13">
        <f>B5*C5*L5</f>
        <v>3328</v>
      </c>
      <c r="N5" s="13">
        <f>M5*Inputs!E6</f>
        <v>262.91199999999998</v>
      </c>
      <c r="O5" s="13">
        <f>M5*(1+Inputs!E6)</f>
        <v>3590.9119999999998</v>
      </c>
      <c r="P5" s="14">
        <f>IF(J5=0,"",O5/J5)</f>
        <v>3.5966666666666668E-2</v>
      </c>
    </row>
    <row r="6" spans="1:16" ht="16" x14ac:dyDescent="0.2">
      <c r="A6" s="8" t="s">
        <v>38</v>
      </c>
      <c r="B6" s="1">
        <v>10</v>
      </c>
      <c r="C6" s="9">
        <v>22</v>
      </c>
      <c r="D6" s="10">
        <v>25</v>
      </c>
      <c r="E6" s="10">
        <v>0</v>
      </c>
      <c r="F6" s="11">
        <f>Inputs!E10</f>
        <v>52</v>
      </c>
      <c r="G6" s="12">
        <f>D6*F6</f>
        <v>1300</v>
      </c>
      <c r="H6" s="12">
        <f>E6*F6</f>
        <v>0</v>
      </c>
      <c r="I6" s="12">
        <f>IF(Inputs!E8=1,G6+H6,G6)</f>
        <v>1300</v>
      </c>
      <c r="J6" s="13">
        <f>B6*(C6*G6+C6*Inputs!E9*H6)</f>
        <v>286000</v>
      </c>
      <c r="K6" s="12">
        <f>IF(Inputs!E4=0,"",I6/Inputs!E4)</f>
        <v>43.333333333333336</v>
      </c>
      <c r="L6" s="12">
        <f>IF(Inputs!E7="",K6,MIN(K6,Inputs!E7))</f>
        <v>40</v>
      </c>
      <c r="M6" s="13">
        <f>B6*C6*L6</f>
        <v>8800</v>
      </c>
      <c r="N6" s="13">
        <f>M6*Inputs!E6</f>
        <v>695.2</v>
      </c>
      <c r="O6" s="13">
        <f>M6*(1+Inputs!E6)</f>
        <v>9495.1999999999989</v>
      </c>
      <c r="P6" s="14">
        <f>IF(J6=0,"",O6/J6)</f>
        <v>3.3199999999999993E-2</v>
      </c>
    </row>
    <row r="8" spans="1:16" ht="16" x14ac:dyDescent="0.2">
      <c r="A8" s="15" t="s">
        <v>39</v>
      </c>
      <c r="B8" s="16">
        <f>SUM(B4:B6)</f>
        <v>22</v>
      </c>
      <c r="C8" s="17" t="s">
        <v>13</v>
      </c>
      <c r="D8" s="17" t="s">
        <v>13</v>
      </c>
      <c r="E8" s="17" t="s">
        <v>13</v>
      </c>
      <c r="F8" s="17" t="s">
        <v>13</v>
      </c>
      <c r="G8" s="17" t="s">
        <v>13</v>
      </c>
      <c r="H8" s="17" t="s">
        <v>13</v>
      </c>
      <c r="I8" s="17" t="s">
        <v>13</v>
      </c>
      <c r="J8" s="18">
        <f t="shared" ref="J8:O8" si="0">SUM(J4:J6)</f>
        <v>627328</v>
      </c>
      <c r="K8" s="19">
        <f t="shared" si="0"/>
        <v>150.80000000000001</v>
      </c>
      <c r="L8" s="19">
        <f t="shared" si="0"/>
        <v>114.66666666666666</v>
      </c>
      <c r="M8" s="18">
        <f t="shared" si="0"/>
        <v>16448</v>
      </c>
      <c r="N8" s="18">
        <f t="shared" si="0"/>
        <v>1299.3920000000001</v>
      </c>
      <c r="O8" s="18">
        <f t="shared" si="0"/>
        <v>17747.392</v>
      </c>
      <c r="P8" s="20">
        <f>IF(J8=0,"",O8/J8)</f>
        <v>2.8290450928381963E-2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B35" sqref="B35"/>
    </sheetView>
  </sheetViews>
  <sheetFormatPr baseColWidth="10" defaultColWidth="8.83203125" defaultRowHeight="15" x14ac:dyDescent="0.2"/>
  <cols>
    <col min="1" max="1" width="52" customWidth="1"/>
    <col min="2" max="4" width="18" customWidth="1"/>
    <col min="5" max="5" width="22" customWidth="1"/>
  </cols>
  <sheetData>
    <row r="1" spans="1:5" ht="21" x14ac:dyDescent="0.25">
      <c r="A1" s="24" t="s">
        <v>40</v>
      </c>
      <c r="B1" s="25"/>
      <c r="C1" s="25"/>
      <c r="D1" s="25"/>
      <c r="E1" s="25"/>
    </row>
    <row r="3" spans="1:5" x14ac:dyDescent="0.2">
      <c r="A3" s="29" t="s">
        <v>41</v>
      </c>
      <c r="B3" s="25"/>
      <c r="C3" s="25"/>
      <c r="D3" s="25"/>
      <c r="E3" s="25"/>
    </row>
    <row r="4" spans="1:5" x14ac:dyDescent="0.2">
      <c r="A4" s="26" t="s">
        <v>42</v>
      </c>
      <c r="B4" s="27"/>
      <c r="C4" s="27"/>
      <c r="D4" s="28"/>
      <c r="E4" s="21">
        <f>Employee_Groups!B8</f>
        <v>22</v>
      </c>
    </row>
    <row r="5" spans="1:5" x14ac:dyDescent="0.2">
      <c r="A5" s="26" t="s">
        <v>43</v>
      </c>
      <c r="B5" s="27"/>
      <c r="C5" s="27"/>
      <c r="D5" s="28"/>
      <c r="E5" s="6">
        <f>Employee_Groups!J8</f>
        <v>627328</v>
      </c>
    </row>
    <row r="6" spans="1:5" x14ac:dyDescent="0.2">
      <c r="A6" s="26" t="s">
        <v>44</v>
      </c>
      <c r="B6" s="27"/>
      <c r="C6" s="27"/>
      <c r="D6" s="28"/>
      <c r="E6" s="6">
        <f>Employee_Groups!O8</f>
        <v>17747.392</v>
      </c>
    </row>
    <row r="7" spans="1:5" x14ac:dyDescent="0.2">
      <c r="A7" s="26" t="s">
        <v>45</v>
      </c>
      <c r="B7" s="27"/>
      <c r="C7" s="27"/>
      <c r="D7" s="28"/>
      <c r="E7" s="2">
        <f>IF(E5=0,"",E6/E5)</f>
        <v>2.8290450928381963E-2</v>
      </c>
    </row>
    <row r="8" spans="1:5" x14ac:dyDescent="0.2">
      <c r="A8" s="26" t="s">
        <v>46</v>
      </c>
      <c r="B8" s="27"/>
      <c r="C8" s="27"/>
      <c r="D8" s="28"/>
      <c r="E8" s="2">
        <f>IF(Inputs!E13=0,"",E6/Inputs!E13)</f>
        <v>1.7747392000000001E-2</v>
      </c>
    </row>
    <row r="10" spans="1:5" x14ac:dyDescent="0.2">
      <c r="A10" s="29" t="s">
        <v>47</v>
      </c>
      <c r="B10" s="25"/>
      <c r="C10" s="25"/>
      <c r="D10" s="25"/>
      <c r="E10" s="25"/>
    </row>
    <row r="11" spans="1:5" x14ac:dyDescent="0.2">
      <c r="A11" s="26" t="s">
        <v>48</v>
      </c>
      <c r="B11" s="27"/>
      <c r="C11" s="27"/>
      <c r="D11" s="28"/>
      <c r="E11" s="6">
        <f>Inputs!E13</f>
        <v>1000000</v>
      </c>
    </row>
    <row r="12" spans="1:5" x14ac:dyDescent="0.2">
      <c r="A12" s="26" t="s">
        <v>16</v>
      </c>
      <c r="B12" s="27"/>
      <c r="C12" s="27"/>
      <c r="D12" s="28"/>
      <c r="E12" s="6">
        <f>Inputs!E19</f>
        <v>50000</v>
      </c>
    </row>
    <row r="13" spans="1:5" x14ac:dyDescent="0.2">
      <c r="A13" s="26" t="s">
        <v>49</v>
      </c>
      <c r="B13" s="27"/>
      <c r="C13" s="27"/>
      <c r="D13" s="28"/>
      <c r="E13" s="2">
        <f>IF(E12=0,"",E6/E12)</f>
        <v>0.35494784000000001</v>
      </c>
    </row>
    <row r="14" spans="1:5" x14ac:dyDescent="0.2">
      <c r="A14" s="26" t="s">
        <v>50</v>
      </c>
      <c r="B14" s="27"/>
      <c r="C14" s="27"/>
      <c r="D14" s="28"/>
      <c r="E14" s="6">
        <f>E12-E6</f>
        <v>32252.608</v>
      </c>
    </row>
    <row r="15" spans="1:5" x14ac:dyDescent="0.2">
      <c r="A15" s="26" t="s">
        <v>51</v>
      </c>
      <c r="B15" s="27"/>
      <c r="C15" s="27"/>
      <c r="D15" s="28"/>
      <c r="E15" s="2">
        <f>IF(E11=0,"",E14/E11)</f>
        <v>3.2252608000000002E-2</v>
      </c>
    </row>
    <row r="16" spans="1:5" x14ac:dyDescent="0.2">
      <c r="A16" s="26" t="s">
        <v>52</v>
      </c>
      <c r="B16" s="27"/>
      <c r="C16" s="27"/>
      <c r="D16" s="28"/>
      <c r="E16" s="2">
        <f>IF(E11=0,"",E6/E11)</f>
        <v>1.7747392000000001E-2</v>
      </c>
    </row>
    <row r="18" spans="1:5" x14ac:dyDescent="0.2">
      <c r="A18" s="29" t="s">
        <v>53</v>
      </c>
      <c r="B18" s="25"/>
      <c r="C18" s="25"/>
      <c r="D18" s="25"/>
      <c r="E18" s="25"/>
    </row>
    <row r="19" spans="1:5" x14ac:dyDescent="0.2">
      <c r="A19" s="7" t="s">
        <v>54</v>
      </c>
      <c r="B19" s="7" t="s">
        <v>55</v>
      </c>
      <c r="C19" s="7" t="s">
        <v>56</v>
      </c>
      <c r="D19" s="7" t="s">
        <v>51</v>
      </c>
    </row>
    <row r="20" spans="1:5" x14ac:dyDescent="0.2">
      <c r="A20" s="22">
        <v>0.02</v>
      </c>
      <c r="B20" s="13">
        <f>Inputs!E13*A20</f>
        <v>20000</v>
      </c>
      <c r="C20" s="23">
        <f t="shared" ref="C20:C25" si="0">IF(B20=0,"",$E$6/B20)</f>
        <v>0.88736959999999998</v>
      </c>
      <c r="D20" s="23">
        <f>IF(Inputs!E13=0,"",(B20-$E$6)/Inputs!E13)</f>
        <v>2.2526080000000001E-3</v>
      </c>
    </row>
    <row r="21" spans="1:5" x14ac:dyDescent="0.2">
      <c r="A21" s="22">
        <v>0.03</v>
      </c>
      <c r="B21" s="13">
        <f>Inputs!E13*A21</f>
        <v>30000</v>
      </c>
      <c r="C21" s="23">
        <f t="shared" si="0"/>
        <v>0.59157973333333336</v>
      </c>
      <c r="D21" s="23">
        <f>IF(Inputs!E13=0,"",(B21-$E$6)/Inputs!E13)</f>
        <v>1.2252608E-2</v>
      </c>
    </row>
    <row r="22" spans="1:5" x14ac:dyDescent="0.2">
      <c r="A22" s="22">
        <v>0.04</v>
      </c>
      <c r="B22" s="13">
        <f>Inputs!E13*A22</f>
        <v>40000</v>
      </c>
      <c r="C22" s="23">
        <f t="shared" si="0"/>
        <v>0.44368479999999999</v>
      </c>
      <c r="D22" s="23">
        <f>IF(Inputs!E13=0,"",(B22-$E$6)/Inputs!E13)</f>
        <v>2.2252608E-2</v>
      </c>
    </row>
    <row r="23" spans="1:5" x14ac:dyDescent="0.2">
      <c r="A23" s="22">
        <v>0.05</v>
      </c>
      <c r="B23" s="13">
        <f>Inputs!E13*A23</f>
        <v>50000</v>
      </c>
      <c r="C23" s="23">
        <f t="shared" si="0"/>
        <v>0.35494784000000001</v>
      </c>
      <c r="D23" s="23">
        <f>IF(Inputs!E13=0,"",(B23-$E$6)/Inputs!E13)</f>
        <v>3.2252608000000002E-2</v>
      </c>
    </row>
    <row r="24" spans="1:5" x14ac:dyDescent="0.2">
      <c r="A24" s="22">
        <v>7.0000000000000007E-2</v>
      </c>
      <c r="B24" s="13">
        <f>Inputs!E13*A24</f>
        <v>70000</v>
      </c>
      <c r="C24" s="23">
        <f t="shared" si="0"/>
        <v>0.25353417142857143</v>
      </c>
      <c r="D24" s="23">
        <f>IF(Inputs!E13=0,"",(B24-$E$6)/Inputs!E13)</f>
        <v>5.2252607999999999E-2</v>
      </c>
    </row>
    <row r="25" spans="1:5" x14ac:dyDescent="0.2">
      <c r="A25" s="22">
        <v>0.1</v>
      </c>
      <c r="B25" s="13">
        <f>Inputs!E13*A25</f>
        <v>100000</v>
      </c>
      <c r="C25" s="23">
        <f t="shared" si="0"/>
        <v>0.17747392000000001</v>
      </c>
      <c r="D25" s="23">
        <f>IF(Inputs!E13=0,"",(B25-$E$6)/Inputs!E13)</f>
        <v>8.2252608000000005E-2</v>
      </c>
    </row>
  </sheetData>
  <mergeCells count="15">
    <mergeCell ref="A1:E1"/>
    <mergeCell ref="A16:D16"/>
    <mergeCell ref="A11:D11"/>
    <mergeCell ref="A5:D5"/>
    <mergeCell ref="A8:D8"/>
    <mergeCell ref="A6:D6"/>
    <mergeCell ref="A12:D12"/>
    <mergeCell ref="A4:D4"/>
    <mergeCell ref="A10:E10"/>
    <mergeCell ref="A18:E18"/>
    <mergeCell ref="A13:D13"/>
    <mergeCell ref="A14:D14"/>
    <mergeCell ref="A3:E3"/>
    <mergeCell ref="A15:D15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Inputs</vt:lpstr>
      <vt:lpstr>Employee_Groups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McMahon</cp:lastModifiedBy>
  <dcterms:created xsi:type="dcterms:W3CDTF">2026-02-12T16:09:28Z</dcterms:created>
  <dcterms:modified xsi:type="dcterms:W3CDTF">2026-02-13T20:14:59Z</dcterms:modified>
</cp:coreProperties>
</file>